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codeName="ThisWorkbook" autoCompressPictures="0"/>
  <bookViews>
    <workbookView xWindow="10620" yWindow="0" windowWidth="24600" windowHeight="15620" activeTab="4"/>
  </bookViews>
  <sheets>
    <sheet name="ModeDEmploi" sheetId="23562" r:id="rId1"/>
    <sheet name="Gisement" sheetId="7036" r:id="rId2"/>
    <sheet name="Matiere" sheetId="7029" r:id="rId3"/>
    <sheet name="Energie" sheetId="7031" r:id="rId4"/>
    <sheet name="Economie" sheetId="23565" r:id="rId5"/>
  </sheets>
  <externalReferences>
    <externalReference r:id="rId6"/>
  </externalReferences>
  <definedNames>
    <definedName name="anscount" hidden="1">3</definedName>
    <definedName name="Chaleur" localSheetId="4">[1]Energie!$E$32</definedName>
    <definedName name="Chaleur">Energie!$E$34</definedName>
    <definedName name="Electricite" localSheetId="4">[1]Energie!$E$11</definedName>
    <definedName name="Electricite">Energie!$E$11</definedName>
    <definedName name="limcount" hidden="1">1</definedName>
    <definedName name="m" localSheetId="4">[1]Gisement!$D$52</definedName>
    <definedName name="m">Gisement!$D$52</definedName>
    <definedName name="Matieres_entrantes" localSheetId="4">[1]Gisement!$C$46</definedName>
    <definedName name="Matieres_entrantes">Gisement!$C$46</definedName>
    <definedName name="Matieres_payantes" localSheetId="4">[1]Gisement!$M$46</definedName>
    <definedName name="Matieres_payantes">Gisement!$M$46</definedName>
    <definedName name="P_Elec" localSheetId="4">[1]Energie!$E$10</definedName>
    <definedName name="P_Elec">Energie!$E$10</definedName>
    <definedName name="Prix_elec" localSheetId="4">[1]Energie!$E$41</definedName>
    <definedName name="Prix_elec">Energie!$E$43</definedName>
    <definedName name="Q" localSheetId="4">[1]Gisement!$D$51</definedName>
    <definedName name="Q">Gisement!$D$51</definedName>
    <definedName name="Qte_Digestat" localSheetId="4">[1]Matiere!$J$4</definedName>
    <definedName name="Qte_Digestat">Matiere!$J$4</definedName>
    <definedName name="Séparation_phase" localSheetId="4">[1]Matiere!$N$23</definedName>
    <definedName name="Séparation_phase">Matiere!$N$23</definedName>
    <definedName name="Solides" localSheetId="4">[1]Gisement!$C$49</definedName>
    <definedName name="Solides">Gisement!$C$49</definedName>
    <definedName name="Stockage_a_creer" localSheetId="4">[1]Matiere!$O$29</definedName>
    <definedName name="Stockage_a_creer">Matiere!$O$29</definedName>
    <definedName name="Taux_valo" localSheetId="4">[1]Energie!$E$33</definedName>
    <definedName name="Taux_valo">Energie!$E$35</definedName>
    <definedName name="Tonnage_epandu">Gisement!$L$46</definedName>
    <definedName name="Volume_digesteur" localSheetId="4">[1]Matiere!$H$27</definedName>
    <definedName name="Volume_digesteur">Matiere!$H$27</definedName>
    <definedName name="_xlnm.Print_Area" localSheetId="4">Economie!$B$2:$M$61</definedName>
  </definedNames>
  <calcPr calcId="140001" concurrentCalc="0"/>
  <customWorkbookViews>
    <customWorkbookView name="Bilan énergétique" guid="{59F82281-7419-11DB-A87A-FCB3BF190000}" yWindow="22" windowWidth="1123" windowHeight="494" tabRatio="810" activeSheetId="7031"/>
    <customWorkbookView name="Bilan économique" guid="{59F82282-7419-11DB-A87A-FCB3BF190000}" yWindow="22" windowWidth="1042" windowHeight="675" tabRatio="810" activeSheetId="703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3565" l="1"/>
  <c r="E30" i="23565"/>
  <c r="G43" i="23565"/>
  <c r="G42" i="23565"/>
  <c r="E11" i="23565"/>
  <c r="I4" i="23565"/>
  <c r="J35" i="7036"/>
  <c r="J32" i="7036"/>
  <c r="J33" i="7036"/>
  <c r="J34" i="7036"/>
  <c r="J46" i="7036"/>
  <c r="E3" i="7031"/>
  <c r="E4" i="7031"/>
  <c r="C46" i="7036"/>
  <c r="G4" i="7029"/>
  <c r="H22" i="7029"/>
  <c r="E15" i="7031"/>
  <c r="E19" i="7031"/>
  <c r="E21" i="7031"/>
  <c r="E22" i="7031"/>
  <c r="E5" i="23565"/>
  <c r="I5" i="23565"/>
  <c r="E32" i="23565"/>
  <c r="I32" i="23565"/>
  <c r="F46" i="7036"/>
  <c r="G7" i="7029"/>
  <c r="J4" i="7029"/>
  <c r="C49" i="7036"/>
  <c r="D51" i="7036"/>
  <c r="I42" i="23565"/>
  <c r="E78" i="7031"/>
  <c r="E7" i="7031"/>
  <c r="E8" i="7031"/>
  <c r="E9" i="7031"/>
  <c r="E10" i="7031"/>
  <c r="E76" i="7031"/>
  <c r="C104" i="7031"/>
  <c r="E77" i="7031"/>
  <c r="C105" i="7031"/>
  <c r="E79" i="7031"/>
  <c r="C106" i="7031"/>
  <c r="E85" i="7031"/>
  <c r="C100" i="7031"/>
  <c r="E81" i="7031"/>
  <c r="E86" i="7031"/>
  <c r="E43" i="23565"/>
  <c r="I43" i="23565"/>
  <c r="M46" i="7036"/>
  <c r="E44" i="23565"/>
  <c r="I44" i="23565"/>
  <c r="E12" i="7031"/>
  <c r="E25" i="7031"/>
  <c r="E33" i="7031"/>
  <c r="E34" i="7031"/>
  <c r="E45" i="23565"/>
  <c r="I45" i="23565"/>
  <c r="I47" i="23565"/>
  <c r="I35" i="23565"/>
  <c r="D46" i="7036"/>
  <c r="G5" i="7029"/>
  <c r="J5" i="7029"/>
  <c r="P12" i="7029"/>
  <c r="P11" i="7029"/>
  <c r="P15" i="7029"/>
  <c r="O27" i="7029"/>
  <c r="O29" i="7029"/>
  <c r="E12" i="23565"/>
  <c r="I12" i="23565"/>
  <c r="I33" i="23565"/>
  <c r="E46" i="7036"/>
  <c r="G6" i="7029"/>
  <c r="H27" i="7029"/>
  <c r="E28" i="23565"/>
  <c r="I28" i="23565"/>
  <c r="L21" i="7029"/>
  <c r="H21" i="7029"/>
  <c r="I29" i="23565"/>
  <c r="I30" i="23565"/>
  <c r="E11" i="7031"/>
  <c r="E42" i="23565"/>
  <c r="E31" i="23565"/>
  <c r="I31" i="23565"/>
  <c r="P33" i="7029"/>
  <c r="P34" i="7029"/>
  <c r="P35" i="7029"/>
  <c r="Q35" i="7029"/>
  <c r="E36" i="23565"/>
  <c r="I36" i="23565"/>
  <c r="I39" i="23565"/>
  <c r="I49" i="23565"/>
  <c r="I6" i="23565"/>
  <c r="I7" i="23565"/>
  <c r="I16" i="23565"/>
  <c r="I17" i="23565"/>
  <c r="I18" i="23565"/>
  <c r="I19" i="23565"/>
  <c r="I20" i="23565"/>
  <c r="I59" i="23565"/>
  <c r="J4" i="7036"/>
  <c r="J5" i="7036"/>
  <c r="J6" i="7036"/>
  <c r="J7" i="7036"/>
  <c r="J9" i="7036"/>
  <c r="J10" i="7036"/>
  <c r="J11" i="7036"/>
  <c r="J12" i="7036"/>
  <c r="J13" i="7036"/>
  <c r="J14" i="7036"/>
  <c r="J15" i="7036"/>
  <c r="J16" i="7036"/>
  <c r="J17" i="7036"/>
  <c r="J19" i="7036"/>
  <c r="J20" i="7036"/>
  <c r="J21" i="7036"/>
  <c r="J22" i="7036"/>
  <c r="J23" i="7036"/>
  <c r="J24" i="7036"/>
  <c r="J25" i="7036"/>
  <c r="J26" i="7036"/>
  <c r="J27" i="7036"/>
  <c r="J28" i="7036"/>
  <c r="J29" i="7036"/>
  <c r="J30" i="7036"/>
  <c r="J31" i="7036"/>
  <c r="J36" i="7036"/>
  <c r="J37" i="7036"/>
  <c r="O33" i="7029"/>
  <c r="O34" i="7029"/>
  <c r="O35" i="7029"/>
  <c r="I34" i="23565"/>
  <c r="E6" i="23565"/>
  <c r="D52" i="7036"/>
  <c r="E4" i="23565"/>
  <c r="I9" i="23565"/>
  <c r="I14" i="23565"/>
  <c r="I24" i="23565"/>
  <c r="C107" i="7031"/>
  <c r="E89" i="7031"/>
  <c r="E84" i="7031"/>
  <c r="E40" i="7031"/>
  <c r="E60" i="7031"/>
  <c r="E41" i="7031"/>
  <c r="C67" i="7031"/>
  <c r="C69" i="7031"/>
  <c r="C72" i="7031"/>
  <c r="C70" i="7031"/>
  <c r="E42" i="7031"/>
  <c r="E43" i="7031"/>
  <c r="C128" i="7031"/>
  <c r="C126" i="7031"/>
  <c r="E113" i="7031"/>
  <c r="E112" i="7031"/>
  <c r="E30" i="7031"/>
  <c r="E114" i="7031"/>
  <c r="A125" i="7031"/>
  <c r="E14" i="7031"/>
  <c r="E5" i="7031"/>
  <c r="I8" i="23565"/>
  <c r="E46" i="7031"/>
  <c r="E83" i="7031"/>
  <c r="E82" i="7031"/>
  <c r="I37" i="23565"/>
  <c r="B63" i="23565"/>
  <c r="I54" i="23565"/>
  <c r="J54" i="23565"/>
  <c r="K54" i="23565"/>
  <c r="I53" i="23565"/>
  <c r="J53" i="23565"/>
  <c r="K53" i="23565"/>
  <c r="J60" i="23565"/>
  <c r="I57" i="23565"/>
  <c r="I56" i="23565"/>
  <c r="I32" i="7036"/>
  <c r="I34" i="7036"/>
  <c r="I33" i="7036"/>
  <c r="I35" i="7036"/>
  <c r="I37" i="7036"/>
  <c r="I36" i="7036"/>
  <c r="I31" i="7036"/>
  <c r="I28" i="7036"/>
  <c r="I29" i="7036"/>
  <c r="I30" i="7036"/>
  <c r="I4" i="7036"/>
  <c r="I5" i="7036"/>
  <c r="I6" i="7036"/>
  <c r="I7" i="7036"/>
  <c r="I9" i="7036"/>
  <c r="I10" i="7036"/>
  <c r="I11" i="7036"/>
  <c r="I12" i="7036"/>
  <c r="I13" i="7036"/>
  <c r="E14" i="7036"/>
  <c r="I14" i="7036"/>
  <c r="I15" i="7036"/>
  <c r="E16" i="7036"/>
  <c r="I16" i="7036"/>
  <c r="I17" i="7036"/>
  <c r="I19" i="7036"/>
  <c r="I20" i="7036"/>
  <c r="I21" i="7036"/>
  <c r="I22" i="7036"/>
  <c r="I23" i="7036"/>
  <c r="I24" i="7036"/>
  <c r="I25" i="7036"/>
  <c r="I26" i="7036"/>
  <c r="I27" i="7036"/>
  <c r="L46" i="7036"/>
  <c r="D47" i="7036"/>
  <c r="E47" i="7036"/>
  <c r="F47" i="7036"/>
  <c r="A54" i="7036"/>
  <c r="F5" i="7029"/>
  <c r="I5" i="7029"/>
  <c r="F6" i="7029"/>
  <c r="J6" i="7029"/>
  <c r="I6" i="7029"/>
  <c r="F7" i="7029"/>
  <c r="O12" i="7029"/>
  <c r="P16" i="7029"/>
  <c r="O16" i="7029"/>
  <c r="H26" i="7029"/>
  <c r="H28" i="7029"/>
  <c r="Q33" i="7029"/>
  <c r="Q34" i="7029"/>
  <c r="E35" i="7031"/>
  <c r="E36" i="7031"/>
  <c r="E37" i="7031"/>
</calcChain>
</file>

<file path=xl/sharedStrings.xml><?xml version="1.0" encoding="utf-8"?>
<sst xmlns="http://schemas.openxmlformats.org/spreadsheetml/2006/main" count="428" uniqueCount="303">
  <si>
    <t>Une colonne "déchets à redevance" permet de calculer la quantité de substrats payans.</t>
  </si>
  <si>
    <t>Le total est reporté dans la feuille ECONOMIE.</t>
  </si>
  <si>
    <t>Production d'énergie, MWh par an</t>
  </si>
  <si>
    <t>Production méthane</t>
  </si>
  <si>
    <t>Consommation de chaleur, MWh par an</t>
  </si>
  <si>
    <t>• la chaleur excédentaire encore valorisable</t>
  </si>
  <si>
    <t>Les investissement sont décomposés entre :</t>
  </si>
  <si>
    <t>Total coûts techniques</t>
  </si>
  <si>
    <t>Recettes</t>
  </si>
  <si>
    <t>Total RECETTES &amp; ECONOMIES</t>
  </si>
  <si>
    <t>Autres dépenses</t>
  </si>
  <si>
    <t>TOTAL ANNUEL</t>
  </si>
  <si>
    <t>Canalisation gaz (y compris tranchées)</t>
  </si>
  <si>
    <t>SUBSTRAT BRUT</t>
  </si>
  <si>
    <t>Masse</t>
  </si>
  <si>
    <t>INVESTISSEMENTS</t>
  </si>
  <si>
    <t>Déjections de l'exploitation actuellement épandues</t>
  </si>
  <si>
    <t>Chaleur</t>
  </si>
  <si>
    <t>€/h</t>
  </si>
  <si>
    <t>STOCKAGE</t>
  </si>
  <si>
    <t>Quanttés à épandre</t>
  </si>
  <si>
    <t>Actuel</t>
  </si>
  <si>
    <t>Projet</t>
  </si>
  <si>
    <t>Liquides</t>
  </si>
  <si>
    <t>Solides</t>
  </si>
  <si>
    <t>Différence</t>
  </si>
  <si>
    <t>Equipement d'épandage</t>
  </si>
  <si>
    <t>Volume réel</t>
  </si>
  <si>
    <t>kWe installés</t>
  </si>
  <si>
    <t>GISEMENT</t>
  </si>
  <si>
    <t>MATIERE</t>
  </si>
  <si>
    <t>ENERGIE</t>
  </si>
  <si>
    <t>ECONOMIE</t>
  </si>
  <si>
    <t>Canalisations eau chaude (y compris tranchées)</t>
  </si>
  <si>
    <t>Qté</t>
  </si>
  <si>
    <t>Electricité</t>
  </si>
  <si>
    <t>EXCEDENT BRUT D'EXPLOITATION</t>
  </si>
  <si>
    <t>DIGESTAT LIQUIDE</t>
  </si>
  <si>
    <t>Consommation de fioul</t>
  </si>
  <si>
    <t>Energie biogaz</t>
  </si>
  <si>
    <t>Q</t>
  </si>
  <si>
    <t>Digesteur</t>
  </si>
  <si>
    <t>Prime effluents élevage</t>
  </si>
  <si>
    <t>BASE</t>
  </si>
  <si>
    <t>Prime effluent d'élevage</t>
  </si>
  <si>
    <t>Quantité d'effluents d'elevage</t>
  </si>
  <si>
    <t>Taux valo énergie</t>
  </si>
  <si>
    <t>Annuités (k € / an)</t>
  </si>
  <si>
    <t>Séparation de phase</t>
  </si>
  <si>
    <t>Si on choisi la séparation de phase, entrer 1 dans la case correspondante.</t>
  </si>
  <si>
    <t>Production de biogaz</t>
  </si>
  <si>
    <t>Vente électricité</t>
  </si>
  <si>
    <t>Plage d'erreur</t>
  </si>
  <si>
    <t>EBE</t>
  </si>
  <si>
    <t>TRB</t>
  </si>
  <si>
    <t>k€/an</t>
  </si>
  <si>
    <t>Conditions défavorables</t>
  </si>
  <si>
    <t>Electricité produite</t>
  </si>
  <si>
    <t>• des utilisation permanentes et régulières</t>
  </si>
  <si>
    <t>Eaux vertes et blanches (EVEB)</t>
  </si>
  <si>
    <t>Canard, lisier</t>
  </si>
  <si>
    <t>Porcins, Lisiers</t>
  </si>
  <si>
    <t>Bovins, Lisiers</t>
  </si>
  <si>
    <t>Lapins, Fumiers</t>
  </si>
  <si>
    <t>Volaille, lisier</t>
  </si>
  <si>
    <t>Porcins, fumier</t>
  </si>
  <si>
    <t xml:space="preserve">Bovins, Fumiers </t>
  </si>
  <si>
    <t>Volailles, Fientes</t>
  </si>
  <si>
    <r>
      <t xml:space="preserve">Puissance électrique </t>
    </r>
    <r>
      <rPr>
        <b/>
        <sz val="10"/>
        <rFont val="Helvetica"/>
      </rPr>
      <t>moyenne</t>
    </r>
  </si>
  <si>
    <r>
      <t xml:space="preserve">Puissance électrique </t>
    </r>
    <r>
      <rPr>
        <b/>
        <sz val="10"/>
        <rFont val="Helvetica"/>
      </rPr>
      <t>installée</t>
    </r>
  </si>
  <si>
    <t>La comparaison entre la production de chaleur et les besoins de chaleur, permet de calculer la quantité de chaleur effectivement valorisée,</t>
  </si>
  <si>
    <t>De même les recettes sont calculées à partir des valeurs calculées (production d'électricité, valorisation chaleur…) et des prix unitaires.</t>
  </si>
  <si>
    <t xml:space="preserve"> = [4] - [1]</t>
  </si>
  <si>
    <t>[ i ]</t>
  </si>
  <si>
    <t>Matières payantes</t>
  </si>
  <si>
    <t>• études, imprévus, dossier d'autorisation, frais de maîtrise d'ouvrage…</t>
  </si>
  <si>
    <t>On calcule les dépenses sur la base des valeurs calculées et des prix unitaires indiqués.</t>
  </si>
  <si>
    <t>[6]</t>
  </si>
  <si>
    <t xml:space="preserve"> = [3] - [2]</t>
  </si>
  <si>
    <t xml:space="preserve"> = [1] + [2]</t>
  </si>
  <si>
    <t>Charge</t>
  </si>
  <si>
    <t>tMSV/an</t>
  </si>
  <si>
    <t>Mat. Dégradable</t>
  </si>
  <si>
    <t>Autres</t>
  </si>
  <si>
    <t>Pour chaque produit, des valeurs de matière volatile sont entrées par défaut.</t>
  </si>
  <si>
    <t>On peut ensuite calculer les paramètres tels que :</t>
  </si>
  <si>
    <t>• le taux de valorisation</t>
  </si>
  <si>
    <t>• le digesteur</t>
  </si>
  <si>
    <t>• le module de cogénération</t>
  </si>
  <si>
    <t>€/MWh</t>
  </si>
  <si>
    <t>€/t</t>
  </si>
  <si>
    <t>m3 CH4</t>
  </si>
  <si>
    <t>Les flux de matière sont décrits à chaque stade : alimentation, sortie digesteur, phase solide et phase liquide en cas de séparation de phase.</t>
  </si>
  <si>
    <t>SORTIE DIGESTEUR</t>
  </si>
  <si>
    <t>Pu</t>
  </si>
  <si>
    <t>MVD%</t>
  </si>
  <si>
    <t>Achat fioul cogénérateur</t>
  </si>
  <si>
    <t>Les principales informations sont le tonnage et la teneur en matière sèche.</t>
  </si>
  <si>
    <t>Separation de phase</t>
  </si>
  <si>
    <t>mois</t>
  </si>
  <si>
    <t>Volume nécessaire</t>
  </si>
  <si>
    <t>Volume existant</t>
  </si>
  <si>
    <t>Volume à créer</t>
  </si>
  <si>
    <t>Séparation de phase (O/1)</t>
  </si>
  <si>
    <t>DIGESTAT SOLIDE</t>
  </si>
  <si>
    <t>A partir de l'énergie du biogaz, on calcule la puissance électrique mois par mois (moyenne mensuelle).</t>
  </si>
  <si>
    <t>Surcoût épandage</t>
  </si>
  <si>
    <t>t</t>
  </si>
  <si>
    <t>ml</t>
  </si>
  <si>
    <t>Co-substrats</t>
  </si>
  <si>
    <t>Description produits</t>
  </si>
  <si>
    <t>Une colonne "déjections de l'exploitation épandues" permet de calculer la quantité de déjections actuellement épandues.</t>
  </si>
  <si>
    <t>On calcule ensuite la production d'électricité (limitée soit par la puissance du moteur, soit par la disponibilité du biogaz),</t>
  </si>
  <si>
    <t>ainsi que la production de chaleur (cogénération avec récupération sur circuit moteur et échappement).</t>
  </si>
  <si>
    <t>Consommations de chaleur</t>
  </si>
  <si>
    <t>Les consommations de chaleur sont les suivantes :</t>
  </si>
  <si>
    <t>Ovins, fumier</t>
  </si>
  <si>
    <t>Caprins, fumier</t>
  </si>
  <si>
    <t>Volaille, fumier</t>
  </si>
  <si>
    <t>Le montant de la redevance est la moyenne de la totalité de ces matières payantes.</t>
  </si>
  <si>
    <t>Flux matière</t>
  </si>
  <si>
    <t>• le chauffage du digesteur (consommation totale calculée en MATIERE, et répartie mois par mois)</t>
  </si>
  <si>
    <t>Eau de pluie (dilution)</t>
  </si>
  <si>
    <t>Chaleur valorisée (hors chauffage digesteur)</t>
  </si>
  <si>
    <t>Quantité journalière, t/j</t>
  </si>
  <si>
    <t>Productivité, m3 CH4/t</t>
  </si>
  <si>
    <t>m</t>
  </si>
  <si>
    <t>Chauffage bâtiments 20°C</t>
  </si>
  <si>
    <t>Usages permanents réguliers</t>
  </si>
  <si>
    <t>€ / MWh élec.</t>
  </si>
  <si>
    <t>Module cogénération</t>
  </si>
  <si>
    <t>Sous total "unité clé en main"</t>
  </si>
  <si>
    <t>Etudes, imprévus, divers</t>
  </si>
  <si>
    <t>PU</t>
  </si>
  <si>
    <t>Bilan</t>
  </si>
  <si>
    <t>Maintenance cogénérateur</t>
  </si>
  <si>
    <t>RESULTAT NET ANNUEL</t>
  </si>
  <si>
    <t>Temps de retour brut (Inv. ÷ EBE)</t>
  </si>
  <si>
    <t>Il est ensuite possible de calculer le coût supplémentaire d'épandage par rapport à la situation actuelle (ou les économies).</t>
  </si>
  <si>
    <t>Entrer 0 ou 1 pour chaque ligne.</t>
  </si>
  <si>
    <t>Déjections actuellement épandues</t>
  </si>
  <si>
    <t>Déchets à redevance</t>
  </si>
  <si>
    <t>LEGENDE</t>
  </si>
  <si>
    <t>€ / ml</t>
  </si>
  <si>
    <t>€ / m3</t>
  </si>
  <si>
    <t>Déchets verts (tontes, feuilles)</t>
  </si>
  <si>
    <t>Betterave</t>
  </si>
  <si>
    <t>BILAN MATIERE</t>
  </si>
  <si>
    <t>&gt;20%</t>
  </si>
  <si>
    <t>Appoint chaleur</t>
  </si>
  <si>
    <t>jours</t>
  </si>
  <si>
    <t>Durée de remboursement</t>
  </si>
  <si>
    <t>• les besoins en énergie d'appoint</t>
  </si>
  <si>
    <t>Autres coûts</t>
  </si>
  <si>
    <t>Calcul du prix de vente de l'électricité</t>
  </si>
  <si>
    <t>Prix de vente, base</t>
  </si>
  <si>
    <t>Chaleur produite</t>
  </si>
  <si>
    <t>Redevance traitement co-substrats</t>
  </si>
  <si>
    <t>t/an</t>
  </si>
  <si>
    <t>MWh/an</t>
  </si>
  <si>
    <t>DIGESTION</t>
  </si>
  <si>
    <t>Achat électricité</t>
  </si>
  <si>
    <t>La production de biogaz est calculée mensuellement à partir de la feuille GISEMENT.</t>
  </si>
  <si>
    <t>Production d'énergie</t>
  </si>
  <si>
    <t>Durée de stockage nécessaire</t>
  </si>
  <si>
    <t>Flux annuels</t>
  </si>
  <si>
    <t>Herbe, fourrage, ensilage</t>
  </si>
  <si>
    <t>TOTAL Dépenses Exploitation</t>
  </si>
  <si>
    <t>Conduite</t>
  </si>
  <si>
    <t>% MSV/MS</t>
  </si>
  <si>
    <t>TOTAL PROJET eligible subvention</t>
  </si>
  <si>
    <t>Mat. Volatile</t>
  </si>
  <si>
    <t>% MS/brut</t>
  </si>
  <si>
    <t>tMS/an</t>
  </si>
  <si>
    <t>Chaleur excédentaire</t>
  </si>
  <si>
    <t>Paille</t>
  </si>
  <si>
    <t>u</t>
  </si>
  <si>
    <t>Consommation MWh</t>
  </si>
  <si>
    <t>Prime efficacité énergétique</t>
  </si>
  <si>
    <t>Rendement électrique</t>
  </si>
  <si>
    <t>%</t>
  </si>
  <si>
    <t>• les autres équipements techniques, qui peuvent être réalisés par des entreprises non spécialistes de la méthanisation :</t>
  </si>
  <si>
    <t>• les canalisations de gaz ou d'eau chaude pour raccorder les usagers</t>
  </si>
  <si>
    <t>• le stockage de digestat liquide</t>
  </si>
  <si>
    <t>• les équipements d'épandage complémentaires</t>
  </si>
  <si>
    <t>k€</t>
  </si>
  <si>
    <t>h/an</t>
  </si>
  <si>
    <t>CARACTERISTIQUES DES MATIERES</t>
  </si>
  <si>
    <t>On calcule l'EBE, puis le TRB et le résultat net annuel qui sont les principaux indicateurs économiques.</t>
  </si>
  <si>
    <t>Description des produits entrant en digestion.</t>
  </si>
  <si>
    <t>Céréales grain</t>
  </si>
  <si>
    <t>Dépenses d'exploitation</t>
  </si>
  <si>
    <t>k€ / an</t>
  </si>
  <si>
    <t>[1]</t>
  </si>
  <si>
    <t>[2]</t>
  </si>
  <si>
    <t>[3]</t>
  </si>
  <si>
    <t>[4]</t>
  </si>
  <si>
    <t>[5]</t>
  </si>
  <si>
    <t>[7]</t>
  </si>
  <si>
    <t>Pour les produits non mentionnés, se rapprocher du produit le plus proche.</t>
  </si>
  <si>
    <t>• l' unité "clé en main" construite par une entreprises spécialisée, qui comporte les équipements partie intégrante du process :</t>
  </si>
  <si>
    <t xml:space="preserve"> = [ i ] / [4]</t>
  </si>
  <si>
    <t>Investissements</t>
  </si>
  <si>
    <t>Chaleur disponible après chauffage digesteur</t>
  </si>
  <si>
    <t>Chauffage du digesteur 37°C</t>
  </si>
  <si>
    <t>Dans la mesure du possible, tenir des variations saisonnières : la valeur indiquée doit correspondre à la quantité de chaleur effecitvement valorisable</t>
  </si>
  <si>
    <t>m3 CH4/ t MV</t>
  </si>
  <si>
    <t>% MSV d/ MSV</t>
  </si>
  <si>
    <t>Maintenance autres équipements</t>
  </si>
  <si>
    <t>m3</t>
  </si>
  <si>
    <t>Taux de valorisation</t>
  </si>
  <si>
    <t>Tonnage</t>
  </si>
  <si>
    <t>tMSVd/an</t>
  </si>
  <si>
    <t>€/ha</t>
  </si>
  <si>
    <t>Dépenses brutes (exploitation+annuités)</t>
  </si>
  <si>
    <t>kg MVS/m3/j</t>
  </si>
  <si>
    <t>Mat. Sèche</t>
  </si>
  <si>
    <t>Conditions favorables</t>
  </si>
  <si>
    <t>± 15%</t>
  </si>
  <si>
    <t>Autres recettes</t>
  </si>
  <si>
    <t>Raccordement réseau électrique</t>
  </si>
  <si>
    <t>MWh</t>
  </si>
  <si>
    <t>Montant à investir</t>
  </si>
  <si>
    <t>%MV</t>
  </si>
  <si>
    <t>Equidés</t>
  </si>
  <si>
    <t>TRH</t>
  </si>
  <si>
    <t>• les équipements périphériques tels que les équipements électriques, pompe, trémie d'alimentation, le séparateur de phase</t>
  </si>
  <si>
    <t>Vente chaleur (économie combustible)</t>
  </si>
  <si>
    <t>• la réumuration de l'électricité (fonction de la puissance et du taux de valorisation)</t>
  </si>
  <si>
    <t>Total substrats solides</t>
  </si>
  <si>
    <t>Fosse de stockage</t>
  </si>
  <si>
    <t>m3 CH4/m3 effluent entré</t>
  </si>
  <si>
    <t>Chaque produit est disposé en ligne : déjections d'élevage liquide, solides, et déchets organiques.</t>
  </si>
  <si>
    <t>ans</t>
  </si>
  <si>
    <t>kW</t>
  </si>
  <si>
    <t>%MS</t>
  </si>
  <si>
    <t>Taux d'emprunt</t>
  </si>
  <si>
    <t>Subventions</t>
  </si>
  <si>
    <t>TOTAL</t>
  </si>
  <si>
    <t>• des utilisations saisnonnière type chauffage de bâtiment ou de serres ;</t>
  </si>
  <si>
    <t>L'hypothèse est celle d'un moteur dual fioul. Le rendement électrique peut être modifié par l'utilisateur.</t>
  </si>
  <si>
    <t>• le raccordement au réseau électrique</t>
  </si>
  <si>
    <t>• les autres coûts non techniques</t>
  </si>
  <si>
    <t>Graisses</t>
  </si>
  <si>
    <t>Résidus de culture</t>
  </si>
  <si>
    <t>Sous produits animaux</t>
  </si>
  <si>
    <t>boues de step</t>
  </si>
  <si>
    <t>Rendement épurateur</t>
  </si>
  <si>
    <t>Energie injectée</t>
  </si>
  <si>
    <t>MWh PCI</t>
  </si>
  <si>
    <t>Energie disponible après chauffage du digesteur</t>
  </si>
  <si>
    <t>Energie injectable</t>
  </si>
  <si>
    <t>limitation débit d'étiage</t>
  </si>
  <si>
    <t>Calcul du prix de vente du biomethane</t>
  </si>
  <si>
    <t>Cogénération</t>
  </si>
  <si>
    <t>Injection</t>
  </si>
  <si>
    <t>Biodéchets</t>
  </si>
  <si>
    <t>Débit biomethane correspondant</t>
  </si>
  <si>
    <t>Nm3/h</t>
  </si>
  <si>
    <t>Prime intrants agricoles et agroindustriels</t>
  </si>
  <si>
    <t>Prime collectivités</t>
  </si>
  <si>
    <t>Prime boues de step</t>
  </si>
  <si>
    <t>Tarif en €/Mwh PCS</t>
  </si>
  <si>
    <t>tarif 2011</t>
  </si>
  <si>
    <t>Tarif de base</t>
  </si>
  <si>
    <t>Prime intrants PI1</t>
  </si>
  <si>
    <t>Prime P2</t>
  </si>
  <si>
    <t>Prime totale</t>
  </si>
  <si>
    <t>Tarif total en €/Mwh PCS</t>
  </si>
  <si>
    <t>Capacité maximale d'injection</t>
  </si>
  <si>
    <t>Prime P3</t>
  </si>
  <si>
    <t>coefficient actualisation 2015 K</t>
  </si>
  <si>
    <t>Tarif actualisé en   €/Mwh PCS</t>
  </si>
  <si>
    <t>cive type ensilage de maïs</t>
  </si>
  <si>
    <t>matières stercoraires</t>
  </si>
  <si>
    <t>marc de raisin</t>
  </si>
  <si>
    <t>refus dégrillage</t>
  </si>
  <si>
    <t>drêches d'oignons</t>
  </si>
  <si>
    <t>Graisses de step</t>
  </si>
  <si>
    <t>issues de céréales sèches</t>
  </si>
  <si>
    <t>Déchets verts (tontes)</t>
  </si>
  <si>
    <t>Données d'entrée</t>
  </si>
  <si>
    <t>€/MWh PCS</t>
  </si>
  <si>
    <t>Tarif selon arrêté</t>
  </si>
  <si>
    <t>Disponibilité épurateur</t>
  </si>
  <si>
    <t>Disponibiité poste d'injection</t>
  </si>
  <si>
    <t>Raccordement réseau gaz</t>
  </si>
  <si>
    <t>Module injection</t>
  </si>
  <si>
    <t>Nm3/h biogaz</t>
  </si>
  <si>
    <t>Type de valorisation (1 =cogé dual fioul, 2 = cogé gaz; 3 :épuration pour injection)</t>
  </si>
  <si>
    <t>Bilan thermique cogénération</t>
  </si>
  <si>
    <t>Réseau gaz ( 1 =  distribution ; 2 = transport)</t>
  </si>
  <si>
    <t>Location et contrôles poste injection</t>
  </si>
  <si>
    <t>Maintenance et renouvellement épurateur</t>
  </si>
  <si>
    <t>Transport matières</t>
  </si>
  <si>
    <t>t.km/an</t>
  </si>
  <si>
    <t>€/t.km</t>
  </si>
  <si>
    <t>tarifs selon arrêté</t>
  </si>
  <si>
    <t>tarifs selon projet arrêté 2016</t>
  </si>
  <si>
    <t>Vente biomethane</t>
  </si>
  <si>
    <t>Poste transport gaz</t>
  </si>
  <si>
    <t>MWh PCS/an</t>
  </si>
  <si>
    <t xml:space="preserve">Tarif actualisé en   €/Mwh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</si>
</sst>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 _F_-;\-* #,##0.00_ _F_-;_-* &quot;-&quot;??_ _F_-;_-@_-"/>
    <numFmt numFmtId="165" formatCode="0.000"/>
    <numFmt numFmtId="166" formatCode="0.0"/>
    <numFmt numFmtId="167" formatCode="_-* #,##0.0_ _F_-;\-* #,##0.0_ _F_-;_-* &quot;-&quot;??_ _F_-;_-@_-"/>
    <numFmt numFmtId="168" formatCode="#,##0.0"/>
    <numFmt numFmtId="169" formatCode="0.0%"/>
    <numFmt numFmtId="170" formatCode="#,##0\ \t"/>
    <numFmt numFmtId="171" formatCode="&quot;base max &lt; &quot;0.00&quot; m3&quot;\ "/>
    <numFmt numFmtId="172" formatCode="&quot;base min &gt; &quot;0.00&quot; m3&quot;\ "/>
    <numFmt numFmtId="173" formatCode="&quot;Prime intrants P&lt;&quot;0.00&quot; m3&quot;\ "/>
    <numFmt numFmtId="174" formatCode="&quot;Prime intrants P&gt; &quot;0.00&quot; m3&quot;\ "/>
    <numFmt numFmtId="175" formatCode="0.00000"/>
  </numFmts>
  <fonts count="49" x14ac:knownFonts="1">
    <font>
      <sz val="9"/>
      <name val="Helvetica"/>
    </font>
    <font>
      <b/>
      <sz val="9"/>
      <name val="Helvetica"/>
    </font>
    <font>
      <sz val="9"/>
      <name val="Helvetica"/>
    </font>
    <font>
      <sz val="10"/>
      <name val="Helvetica"/>
    </font>
    <font>
      <i/>
      <sz val="10"/>
      <name val="Helvetica"/>
    </font>
    <font>
      <sz val="10"/>
      <color indexed="18"/>
      <name val="Helvetica"/>
    </font>
    <font>
      <sz val="8"/>
      <name val="Helvetica"/>
    </font>
    <font>
      <b/>
      <sz val="10"/>
      <color indexed="9"/>
      <name val="Helvetica"/>
    </font>
    <font>
      <b/>
      <sz val="10"/>
      <color indexed="18"/>
      <name val="Helvetica"/>
    </font>
    <font>
      <sz val="9"/>
      <name val="Helvetica"/>
    </font>
    <font>
      <sz val="10"/>
      <name val="Arial"/>
    </font>
    <font>
      <sz val="9"/>
      <name val="Arial"/>
      <family val="2"/>
    </font>
    <font>
      <b/>
      <sz val="18"/>
      <color indexed="13"/>
      <name val="Helvetica"/>
    </font>
    <font>
      <b/>
      <sz val="10"/>
      <name val="Helvetica"/>
    </font>
    <font>
      <b/>
      <sz val="14"/>
      <color indexed="51"/>
      <name val="Helvetica"/>
    </font>
    <font>
      <b/>
      <sz val="10"/>
      <color indexed="51"/>
      <name val="Helvetica"/>
    </font>
    <font>
      <sz val="9"/>
      <name val="Helvetica"/>
    </font>
    <font>
      <sz val="10"/>
      <color indexed="60"/>
      <name val="Helvetica"/>
    </font>
    <font>
      <b/>
      <sz val="10"/>
      <color indexed="60"/>
      <name val="Helvetica"/>
    </font>
    <font>
      <b/>
      <sz val="12"/>
      <color indexed="10"/>
      <name val="Helvetica"/>
    </font>
    <font>
      <sz val="12"/>
      <color indexed="10"/>
      <name val="Helvetica"/>
    </font>
    <font>
      <b/>
      <sz val="12"/>
      <color indexed="18"/>
      <name val="Helvetica"/>
    </font>
    <font>
      <b/>
      <sz val="12"/>
      <color indexed="12"/>
      <name val="Helvetica"/>
    </font>
    <font>
      <b/>
      <sz val="9"/>
      <color indexed="9"/>
      <name val="Helvetica"/>
    </font>
    <font>
      <sz val="9"/>
      <color indexed="55"/>
      <name val="Helvetica"/>
    </font>
    <font>
      <b/>
      <sz val="9"/>
      <color indexed="23"/>
      <name val="Helvetica"/>
    </font>
    <font>
      <b/>
      <sz val="9"/>
      <color indexed="55"/>
      <name val="Helvetica"/>
    </font>
    <font>
      <b/>
      <i/>
      <sz val="10"/>
      <name val="Helvetica"/>
    </font>
    <font>
      <b/>
      <sz val="24"/>
      <color indexed="51"/>
      <name val="Helvetica"/>
    </font>
    <font>
      <sz val="12"/>
      <name val="Helvetica"/>
    </font>
    <font>
      <b/>
      <sz val="12"/>
      <name val="Helvetica"/>
    </font>
    <font>
      <b/>
      <sz val="12"/>
      <color indexed="51"/>
      <name val="Helvetica"/>
    </font>
    <font>
      <sz val="10"/>
      <color indexed="23"/>
      <name val="Arial"/>
    </font>
    <font>
      <b/>
      <sz val="9"/>
      <color indexed="22"/>
      <name val="Helvetica"/>
    </font>
    <font>
      <i/>
      <sz val="9"/>
      <name val="Arial"/>
      <family val="2"/>
    </font>
    <font>
      <b/>
      <i/>
      <sz val="9"/>
      <name val="Arial"/>
    </font>
    <font>
      <b/>
      <sz val="10"/>
      <color indexed="10"/>
      <name val="Helvetica"/>
    </font>
    <font>
      <sz val="10"/>
      <color indexed="10"/>
      <name val="Helvetica"/>
    </font>
    <font>
      <sz val="10"/>
      <color indexed="55"/>
      <name val="Helvetica"/>
    </font>
    <font>
      <sz val="9"/>
      <color indexed="9"/>
      <name val="Helvetica"/>
    </font>
    <font>
      <sz val="10"/>
      <color indexed="9"/>
      <name val="Helvetica"/>
    </font>
    <font>
      <sz val="11"/>
      <name val="Arial"/>
    </font>
    <font>
      <sz val="11"/>
      <color indexed="51"/>
      <name val="Helvetica"/>
    </font>
    <font>
      <b/>
      <sz val="11"/>
      <color rgb="FF800000"/>
      <name val="Arial"/>
    </font>
    <font>
      <sz val="11"/>
      <color rgb="FFFF0000"/>
      <name val="Arial"/>
    </font>
    <font>
      <b/>
      <sz val="11"/>
      <name val="Arial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1"/>
      <color indexed="51"/>
      <name val="Helvetica"/>
    </font>
  </fonts>
  <fills count="1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8">
    <xf numFmtId="3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3" fontId="41" fillId="0" borderId="0"/>
    <xf numFmtId="9" fontId="2" fillId="0" borderId="0" applyFon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</cellStyleXfs>
  <cellXfs count="400">
    <xf numFmtId="3" fontId="0" fillId="0" borderId="0" xfId="0"/>
    <xf numFmtId="3" fontId="3" fillId="0" borderId="0" xfId="0" applyFont="1"/>
    <xf numFmtId="9" fontId="3" fillId="0" borderId="0" xfId="3" applyFont="1"/>
    <xf numFmtId="3" fontId="7" fillId="2" borderId="0" xfId="0" applyFont="1" applyFill="1"/>
    <xf numFmtId="3" fontId="7" fillId="3" borderId="0" xfId="0" applyFont="1" applyFill="1" applyAlignment="1"/>
    <xf numFmtId="3" fontId="3" fillId="3" borderId="0" xfId="0" applyFont="1" applyFill="1"/>
    <xf numFmtId="3" fontId="3" fillId="0" borderId="0" xfId="0" applyFont="1" applyFill="1"/>
    <xf numFmtId="3" fontId="12" fillId="4" borderId="0" xfId="0" applyFont="1" applyFill="1"/>
    <xf numFmtId="3" fontId="3" fillId="5" borderId="0" xfId="0" applyFont="1" applyFill="1"/>
    <xf numFmtId="0" fontId="11" fillId="0" borderId="0" xfId="2" applyFont="1"/>
    <xf numFmtId="3" fontId="3" fillId="0" borderId="0" xfId="0" applyFont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1" xfId="0" applyFont="1" applyFill="1" applyBorder="1" applyAlignment="1">
      <alignment horizontal="center" vertical="center" wrapText="1"/>
    </xf>
    <xf numFmtId="3" fontId="13" fillId="6" borderId="2" xfId="0" applyFont="1" applyFill="1" applyBorder="1" applyAlignment="1">
      <alignment horizontal="center" vertical="center" wrapText="1"/>
    </xf>
    <xf numFmtId="3" fontId="13" fillId="6" borderId="3" xfId="0" applyFont="1" applyFill="1" applyBorder="1" applyAlignment="1">
      <alignment horizontal="center" vertical="center" wrapText="1"/>
    </xf>
    <xf numFmtId="3" fontId="13" fillId="6" borderId="4" xfId="0" applyFont="1" applyFill="1" applyBorder="1" applyAlignment="1">
      <alignment horizontal="center" vertical="center" wrapText="1"/>
    </xf>
    <xf numFmtId="3" fontId="3" fillId="6" borderId="4" xfId="0" applyFont="1" applyFill="1" applyBorder="1" applyAlignment="1">
      <alignment horizontal="center" vertical="center" wrapText="1"/>
    </xf>
    <xf numFmtId="3" fontId="3" fillId="0" borderId="0" xfId="0" applyFont="1" applyFill="1" applyBorder="1"/>
    <xf numFmtId="3" fontId="3" fillId="0" borderId="0" xfId="0" applyFont="1" applyFill="1" applyBorder="1" applyAlignment="1">
      <alignment horizontal="center"/>
    </xf>
    <xf numFmtId="3" fontId="3" fillId="0" borderId="0" xfId="0" applyFont="1" applyAlignment="1"/>
    <xf numFmtId="3" fontId="13" fillId="7" borderId="0" xfId="0" applyFont="1" applyFill="1"/>
    <xf numFmtId="3" fontId="13" fillId="5" borderId="0" xfId="0" applyFont="1" applyFill="1"/>
    <xf numFmtId="3" fontId="1" fillId="8" borderId="0" xfId="0" applyFont="1" applyFill="1"/>
    <xf numFmtId="3" fontId="11" fillId="8" borderId="0" xfId="0" applyFont="1" applyFill="1"/>
    <xf numFmtId="0" fontId="11" fillId="8" borderId="0" xfId="2" applyFont="1" applyFill="1"/>
    <xf numFmtId="3" fontId="0" fillId="8" borderId="0" xfId="0" applyFill="1"/>
    <xf numFmtId="3" fontId="2" fillId="8" borderId="0" xfId="0" applyFont="1" applyFill="1"/>
    <xf numFmtId="3" fontId="3" fillId="8" borderId="0" xfId="0" applyFont="1" applyFill="1"/>
    <xf numFmtId="3" fontId="9" fillId="8" borderId="0" xfId="0" applyFont="1" applyFill="1"/>
    <xf numFmtId="3" fontId="3" fillId="8" borderId="0" xfId="0" applyFont="1" applyFill="1" applyAlignment="1">
      <alignment horizontal="center"/>
    </xf>
    <xf numFmtId="3" fontId="9" fillId="0" borderId="0" xfId="0" applyFont="1"/>
    <xf numFmtId="3" fontId="14" fillId="4" borderId="0" xfId="0" applyFont="1" applyFill="1" applyAlignment="1"/>
    <xf numFmtId="3" fontId="14" fillId="4" borderId="0" xfId="0" applyFont="1" applyFill="1"/>
    <xf numFmtId="3" fontId="14" fillId="4" borderId="0" xfId="0" applyFont="1" applyFill="1" applyAlignment="1">
      <alignment horizontal="center"/>
    </xf>
    <xf numFmtId="3" fontId="16" fillId="0" borderId="0" xfId="0" applyFont="1" applyAlignment="1"/>
    <xf numFmtId="3" fontId="9" fillId="0" borderId="0" xfId="0" applyFont="1" applyAlignment="1"/>
    <xf numFmtId="3" fontId="15" fillId="4" borderId="0" xfId="0" applyFont="1" applyFill="1"/>
    <xf numFmtId="3" fontId="13" fillId="4" borderId="0" xfId="0" applyFont="1" applyFill="1" applyAlignment="1">
      <alignment horizontal="center"/>
    </xf>
    <xf numFmtId="3" fontId="3" fillId="8" borderId="0" xfId="0" applyFont="1" applyFill="1" applyAlignment="1"/>
    <xf numFmtId="3" fontId="13" fillId="8" borderId="0" xfId="0" applyFont="1" applyFill="1" applyAlignment="1"/>
    <xf numFmtId="3" fontId="3" fillId="0" borderId="0" xfId="0" applyFont="1" applyFill="1" applyBorder="1" applyAlignment="1"/>
    <xf numFmtId="3" fontId="3" fillId="8" borderId="0" xfId="0" applyFont="1" applyFill="1" applyAlignment="1">
      <alignment horizontal="left"/>
    </xf>
    <xf numFmtId="3" fontId="3" fillId="6" borderId="5" xfId="0" applyFont="1" applyFill="1" applyBorder="1" applyAlignment="1">
      <alignment horizontal="center"/>
    </xf>
    <xf numFmtId="3" fontId="3" fillId="6" borderId="6" xfId="0" applyFont="1" applyFill="1" applyBorder="1" applyAlignment="1">
      <alignment horizontal="center"/>
    </xf>
    <xf numFmtId="3" fontId="3" fillId="6" borderId="1" xfId="0" applyFont="1" applyFill="1" applyBorder="1" applyAlignment="1">
      <alignment horizontal="center"/>
    </xf>
    <xf numFmtId="9" fontId="4" fillId="8" borderId="0" xfId="0" applyNumberFormat="1" applyFont="1" applyFill="1"/>
    <xf numFmtId="3" fontId="4" fillId="8" borderId="0" xfId="0" applyFont="1" applyFill="1"/>
    <xf numFmtId="3" fontId="3" fillId="8" borderId="0" xfId="0" applyFont="1" applyFill="1" applyAlignment="1">
      <alignment horizontal="right"/>
    </xf>
    <xf numFmtId="3" fontId="5" fillId="8" borderId="7" xfId="1" applyNumberFormat="1" applyFont="1" applyFill="1" applyBorder="1" applyAlignment="1">
      <alignment horizontal="center"/>
    </xf>
    <xf numFmtId="164" fontId="5" fillId="8" borderId="8" xfId="1" applyFont="1" applyFill="1" applyBorder="1" applyAlignment="1">
      <alignment horizontal="center"/>
    </xf>
    <xf numFmtId="164" fontId="5" fillId="8" borderId="7" xfId="1" applyFont="1" applyFill="1" applyBorder="1" applyAlignment="1">
      <alignment horizontal="center"/>
    </xf>
    <xf numFmtId="3" fontId="3" fillId="8" borderId="0" xfId="0" applyNumberFormat="1" applyFont="1" applyFill="1" applyAlignment="1">
      <alignment horizontal="left"/>
    </xf>
    <xf numFmtId="3" fontId="8" fillId="8" borderId="0" xfId="0" applyFont="1" applyFill="1"/>
    <xf numFmtId="3" fontId="2" fillId="8" borderId="0" xfId="0" applyFont="1" applyFill="1" applyAlignment="1">
      <alignment horizontal="center"/>
    </xf>
    <xf numFmtId="3" fontId="2" fillId="0" borderId="0" xfId="0" applyFont="1" applyAlignment="1"/>
    <xf numFmtId="3" fontId="3" fillId="8" borderId="0" xfId="0" applyFont="1" applyFill="1" applyAlignment="1">
      <alignment horizontal="center" vertical="center" wrapText="1"/>
    </xf>
    <xf numFmtId="3" fontId="3" fillId="8" borderId="0" xfId="0" applyFont="1" applyFill="1" applyBorder="1"/>
    <xf numFmtId="3" fontId="3" fillId="8" borderId="0" xfId="0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13" fillId="8" borderId="0" xfId="0" applyFont="1" applyFill="1" applyBorder="1" applyAlignment="1"/>
    <xf numFmtId="3" fontId="13" fillId="8" borderId="0" xfId="0" applyFont="1" applyFill="1"/>
    <xf numFmtId="3" fontId="2" fillId="0" borderId="0" xfId="0" applyFont="1"/>
    <xf numFmtId="0" fontId="1" fillId="8" borderId="0" xfId="2" applyFont="1" applyFill="1"/>
    <xf numFmtId="0" fontId="2" fillId="8" borderId="0" xfId="2" applyFont="1" applyFill="1"/>
    <xf numFmtId="0" fontId="2" fillId="0" borderId="0" xfId="2" applyFont="1"/>
    <xf numFmtId="1" fontId="2" fillId="8" borderId="0" xfId="2" applyNumberFormat="1" applyFont="1" applyFill="1"/>
    <xf numFmtId="0" fontId="1" fillId="10" borderId="2" xfId="2" applyFont="1" applyFill="1" applyBorder="1" applyAlignment="1">
      <alignment horizontal="left"/>
    </xf>
    <xf numFmtId="3" fontId="1" fillId="8" borderId="0" xfId="0" applyNumberFormat="1" applyFont="1" applyFill="1" applyBorder="1"/>
    <xf numFmtId="3" fontId="2" fillId="8" borderId="0" xfId="0" applyFont="1" applyFill="1" applyBorder="1"/>
    <xf numFmtId="3" fontId="2" fillId="8" borderId="0" xfId="0" applyNumberFormat="1" applyFont="1" applyFill="1" applyBorder="1"/>
    <xf numFmtId="0" fontId="1" fillId="11" borderId="2" xfId="2" applyFont="1" applyFill="1" applyBorder="1" applyAlignment="1">
      <alignment horizontal="center"/>
    </xf>
    <xf numFmtId="3" fontId="1" fillId="11" borderId="1" xfId="0" applyFont="1" applyFill="1" applyBorder="1" applyAlignment="1">
      <alignment horizontal="center"/>
    </xf>
    <xf numFmtId="0" fontId="1" fillId="11" borderId="9" xfId="2" applyFont="1" applyFill="1" applyBorder="1" applyAlignment="1">
      <alignment horizontal="center"/>
    </xf>
    <xf numFmtId="0" fontId="2" fillId="8" borderId="0" xfId="2" applyFont="1" applyFill="1" applyBorder="1"/>
    <xf numFmtId="0" fontId="2" fillId="0" borderId="0" xfId="2" applyFont="1" applyBorder="1"/>
    <xf numFmtId="0" fontId="1" fillId="0" borderId="0" xfId="2" applyFont="1"/>
    <xf numFmtId="3" fontId="1" fillId="8" borderId="0" xfId="0" applyFont="1" applyFill="1" applyBorder="1"/>
    <xf numFmtId="0" fontId="24" fillId="9" borderId="0" xfId="2" applyFont="1" applyFill="1"/>
    <xf numFmtId="0" fontId="25" fillId="9" borderId="0" xfId="2" applyFont="1" applyFill="1"/>
    <xf numFmtId="0" fontId="26" fillId="9" borderId="0" xfId="2" applyFont="1" applyFill="1"/>
    <xf numFmtId="0" fontId="10" fillId="8" borderId="0" xfId="2" applyFont="1" applyFill="1"/>
    <xf numFmtId="3" fontId="10" fillId="8" borderId="0" xfId="0" applyFont="1" applyFill="1"/>
    <xf numFmtId="0" fontId="3" fillId="8" borderId="0" xfId="2" applyFont="1" applyFill="1"/>
    <xf numFmtId="0" fontId="13" fillId="8" borderId="0" xfId="2" applyFont="1" applyFill="1"/>
    <xf numFmtId="0" fontId="13" fillId="11" borderId="10" xfId="2" applyFont="1" applyFill="1" applyBorder="1"/>
    <xf numFmtId="0" fontId="13" fillId="11" borderId="11" xfId="2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/>
    </xf>
    <xf numFmtId="0" fontId="3" fillId="0" borderId="0" xfId="2" applyFont="1"/>
    <xf numFmtId="165" fontId="3" fillId="8" borderId="0" xfId="2" applyNumberFormat="1" applyFont="1" applyFill="1"/>
    <xf numFmtId="1" fontId="3" fillId="8" borderId="0" xfId="2" applyNumberFormat="1" applyFont="1" applyFill="1"/>
    <xf numFmtId="0" fontId="27" fillId="10" borderId="6" xfId="2" applyFont="1" applyFill="1" applyBorder="1" applyAlignment="1">
      <alignment horizontal="left"/>
    </xf>
    <xf numFmtId="0" fontId="27" fillId="10" borderId="9" xfId="2" applyFont="1" applyFill="1" applyBorder="1" applyAlignment="1">
      <alignment horizontal="left"/>
    </xf>
    <xf numFmtId="1" fontId="27" fillId="10" borderId="13" xfId="2" applyNumberFormat="1" applyFont="1" applyFill="1" applyBorder="1" applyAlignment="1">
      <alignment horizontal="right"/>
    </xf>
    <xf numFmtId="0" fontId="13" fillId="10" borderId="1" xfId="2" applyFont="1" applyFill="1" applyBorder="1"/>
    <xf numFmtId="3" fontId="13" fillId="10" borderId="1" xfId="0" applyFont="1" applyFill="1" applyBorder="1"/>
    <xf numFmtId="3" fontId="13" fillId="11" borderId="1" xfId="0" applyFont="1" applyFill="1" applyBorder="1"/>
    <xf numFmtId="0" fontId="13" fillId="8" borderId="0" xfId="2" applyFont="1" applyFill="1" applyBorder="1"/>
    <xf numFmtId="0" fontId="3" fillId="8" borderId="0" xfId="2" applyFont="1" applyFill="1" applyBorder="1"/>
    <xf numFmtId="3" fontId="13" fillId="11" borderId="6" xfId="0" applyFont="1" applyFill="1" applyBorder="1"/>
    <xf numFmtId="0" fontId="13" fillId="11" borderId="2" xfId="2" applyFont="1" applyFill="1" applyBorder="1" applyAlignment="1">
      <alignment horizontal="center"/>
    </xf>
    <xf numFmtId="3" fontId="13" fillId="11" borderId="1" xfId="0" applyFont="1" applyFill="1" applyBorder="1" applyAlignment="1">
      <alignment horizontal="center"/>
    </xf>
    <xf numFmtId="3" fontId="13" fillId="11" borderId="3" xfId="0" applyFont="1" applyFill="1" applyBorder="1" applyAlignment="1">
      <alignment horizontal="center"/>
    </xf>
    <xf numFmtId="168" fontId="13" fillId="11" borderId="3" xfId="0" applyNumberFormat="1" applyFont="1" applyFill="1" applyBorder="1" applyAlignment="1">
      <alignment horizontal="center"/>
    </xf>
    <xf numFmtId="168" fontId="13" fillId="11" borderId="13" xfId="0" applyNumberFormat="1" applyFont="1" applyFill="1" applyBorder="1" applyAlignment="1">
      <alignment horizontal="center"/>
    </xf>
    <xf numFmtId="0" fontId="3" fillId="8" borderId="0" xfId="2" applyFont="1" applyFill="1" applyAlignment="1">
      <alignment horizontal="center"/>
    </xf>
    <xf numFmtId="3" fontId="3" fillId="11" borderId="3" xfId="0" applyNumberFormat="1" applyFont="1" applyFill="1" applyBorder="1" applyAlignment="1">
      <alignment horizontal="center"/>
    </xf>
    <xf numFmtId="0" fontId="3" fillId="8" borderId="0" xfId="2" applyFont="1" applyFill="1" applyBorder="1" applyAlignment="1">
      <alignment horizontal="center"/>
    </xf>
    <xf numFmtId="0" fontId="13" fillId="10" borderId="2" xfId="2" applyFont="1" applyFill="1" applyBorder="1" applyAlignment="1">
      <alignment horizontal="left"/>
    </xf>
    <xf numFmtId="3" fontId="13" fillId="11" borderId="2" xfId="0" applyFont="1" applyFill="1" applyBorder="1" applyAlignment="1">
      <alignment horizontal="center"/>
    </xf>
    <xf numFmtId="3" fontId="13" fillId="8" borderId="0" xfId="0" applyFont="1" applyFill="1" applyBorder="1"/>
    <xf numFmtId="168" fontId="13" fillId="8" borderId="0" xfId="3" applyNumberFormat="1" applyFont="1" applyFill="1" applyBorder="1" applyAlignment="1">
      <alignment horizontal="center"/>
    </xf>
    <xf numFmtId="1" fontId="13" fillId="8" borderId="0" xfId="2" applyNumberFormat="1" applyFont="1" applyFill="1" applyBorder="1" applyAlignment="1">
      <alignment horizontal="left"/>
    </xf>
    <xf numFmtId="0" fontId="13" fillId="11" borderId="9" xfId="2" applyFont="1" applyFill="1" applyBorder="1" applyAlignment="1">
      <alignment horizontal="center"/>
    </xf>
    <xf numFmtId="0" fontId="13" fillId="11" borderId="3" xfId="2" applyFont="1" applyFill="1" applyBorder="1" applyAlignment="1">
      <alignment horizontal="center"/>
    </xf>
    <xf numFmtId="3" fontId="13" fillId="11" borderId="9" xfId="0" applyFont="1" applyFill="1" applyBorder="1" applyAlignment="1">
      <alignment horizontal="center"/>
    </xf>
    <xf numFmtId="3" fontId="13" fillId="4" borderId="0" xfId="0" applyFont="1" applyFill="1"/>
    <xf numFmtId="0" fontId="3" fillId="9" borderId="0" xfId="2" applyFont="1" applyFill="1"/>
    <xf numFmtId="1" fontId="13" fillId="10" borderId="3" xfId="2" applyNumberFormat="1" applyFont="1" applyFill="1" applyBorder="1" applyAlignment="1">
      <alignment horizontal="right"/>
    </xf>
    <xf numFmtId="3" fontId="28" fillId="4" borderId="0" xfId="0" applyFont="1" applyFill="1"/>
    <xf numFmtId="3" fontId="28" fillId="4" borderId="0" xfId="0" applyFont="1" applyFill="1" applyAlignment="1">
      <alignment horizontal="center"/>
    </xf>
    <xf numFmtId="3" fontId="29" fillId="0" borderId="0" xfId="0" applyFont="1"/>
    <xf numFmtId="3" fontId="30" fillId="0" borderId="0" xfId="0" applyFont="1" applyAlignment="1">
      <alignment horizontal="center"/>
    </xf>
    <xf numFmtId="3" fontId="30" fillId="0" borderId="0" xfId="0" applyFont="1"/>
    <xf numFmtId="3" fontId="31" fillId="4" borderId="0" xfId="0" applyFont="1" applyFill="1"/>
    <xf numFmtId="3" fontId="30" fillId="5" borderId="0" xfId="0" applyFont="1" applyFill="1"/>
    <xf numFmtId="3" fontId="28" fillId="4" borderId="0" xfId="0" applyFont="1" applyFill="1" applyAlignment="1">
      <alignment horizontal="left" vertical="center"/>
    </xf>
    <xf numFmtId="3" fontId="30" fillId="0" borderId="0" xfId="0" applyFont="1" applyAlignment="1">
      <alignment horizontal="center" vertical="center"/>
    </xf>
    <xf numFmtId="3" fontId="30" fillId="0" borderId="0" xfId="0" applyFont="1" applyAlignment="1">
      <alignment vertical="center"/>
    </xf>
    <xf numFmtId="3" fontId="3" fillId="9" borderId="0" xfId="0" applyFont="1" applyFill="1" applyAlignment="1"/>
    <xf numFmtId="0" fontId="32" fillId="9" borderId="0" xfId="2" applyFont="1" applyFill="1" applyBorder="1"/>
    <xf numFmtId="0" fontId="13" fillId="10" borderId="11" xfId="2" applyFont="1" applyFill="1" applyBorder="1" applyAlignment="1">
      <alignment horizontal="left"/>
    </xf>
    <xf numFmtId="0" fontId="13" fillId="10" borderId="9" xfId="2" applyFont="1" applyFill="1" applyBorder="1" applyAlignment="1">
      <alignment horizontal="left"/>
    </xf>
    <xf numFmtId="3" fontId="33" fillId="8" borderId="0" xfId="2" applyNumberFormat="1" applyFont="1" applyFill="1"/>
    <xf numFmtId="0" fontId="30" fillId="5" borderId="1" xfId="2" applyFont="1" applyFill="1" applyBorder="1"/>
    <xf numFmtId="3" fontId="22" fillId="5" borderId="2" xfId="0" applyFont="1" applyFill="1" applyBorder="1"/>
    <xf numFmtId="3" fontId="30" fillId="5" borderId="2" xfId="0" applyFont="1" applyFill="1" applyBorder="1"/>
    <xf numFmtId="0" fontId="30" fillId="5" borderId="2" xfId="2" applyFont="1" applyFill="1" applyBorder="1"/>
    <xf numFmtId="169" fontId="30" fillId="5" borderId="2" xfId="3" applyNumberFormat="1" applyFont="1" applyFill="1" applyBorder="1" applyAlignment="1">
      <alignment horizontal="center"/>
    </xf>
    <xf numFmtId="1" fontId="30" fillId="5" borderId="3" xfId="3" applyNumberFormat="1" applyFont="1" applyFill="1" applyBorder="1" applyAlignment="1">
      <alignment horizontal="left"/>
    </xf>
    <xf numFmtId="3" fontId="34" fillId="8" borderId="0" xfId="0" applyFont="1" applyFill="1"/>
    <xf numFmtId="3" fontId="35" fillId="8" borderId="0" xfId="0" applyFont="1" applyFill="1"/>
    <xf numFmtId="3" fontId="34" fillId="8" borderId="0" xfId="0" applyFont="1" applyFill="1" applyAlignment="1">
      <alignment horizontal="center"/>
    </xf>
    <xf numFmtId="3" fontId="34" fillId="0" borderId="0" xfId="0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3" fontId="19" fillId="12" borderId="4" xfId="0" applyFont="1" applyFill="1" applyBorder="1" applyAlignment="1" applyProtection="1">
      <alignment horizontal="center"/>
      <protection locked="0"/>
    </xf>
    <xf numFmtId="169" fontId="21" fillId="13" borderId="10" xfId="3" applyNumberFormat="1" applyFont="1" applyFill="1" applyBorder="1" applyAlignment="1" applyProtection="1">
      <alignment horizontal="center"/>
      <protection locked="0"/>
    </xf>
    <xf numFmtId="9" fontId="21" fillId="13" borderId="11" xfId="3" applyNumberFormat="1" applyFont="1" applyFill="1" applyBorder="1" applyAlignment="1" applyProtection="1">
      <alignment horizontal="center"/>
      <protection locked="0"/>
    </xf>
    <xf numFmtId="9" fontId="21" fillId="13" borderId="11" xfId="3" applyFont="1" applyFill="1" applyBorder="1" applyAlignment="1" applyProtection="1">
      <alignment horizontal="center"/>
      <protection locked="0"/>
    </xf>
    <xf numFmtId="3" fontId="21" fillId="13" borderId="12" xfId="0" applyFont="1" applyFill="1" applyBorder="1" applyAlignment="1" applyProtection="1">
      <alignment horizontal="center"/>
      <protection locked="0"/>
    </xf>
    <xf numFmtId="169" fontId="21" fillId="13" borderId="5" xfId="3" applyNumberFormat="1" applyFont="1" applyFill="1" applyBorder="1" applyAlignment="1" applyProtection="1">
      <alignment horizontal="center"/>
      <protection locked="0"/>
    </xf>
    <xf numFmtId="9" fontId="21" fillId="13" borderId="0" xfId="3" applyNumberFormat="1" applyFont="1" applyFill="1" applyBorder="1" applyAlignment="1" applyProtection="1">
      <alignment horizontal="center"/>
      <protection locked="0"/>
    </xf>
    <xf numFmtId="9" fontId="21" fillId="13" borderId="0" xfId="3" applyFont="1" applyFill="1" applyBorder="1" applyAlignment="1" applyProtection="1">
      <alignment horizontal="center"/>
      <protection locked="0"/>
    </xf>
    <xf numFmtId="3" fontId="21" fillId="13" borderId="14" xfId="0" applyFont="1" applyFill="1" applyBorder="1" applyAlignment="1" applyProtection="1">
      <alignment horizontal="center"/>
      <protection locked="0"/>
    </xf>
    <xf numFmtId="169" fontId="21" fillId="13" borderId="6" xfId="3" applyNumberFormat="1" applyFont="1" applyFill="1" applyBorder="1" applyAlignment="1" applyProtection="1">
      <alignment horizontal="center"/>
      <protection locked="0"/>
    </xf>
    <xf numFmtId="9" fontId="21" fillId="13" borderId="9" xfId="3" applyNumberFormat="1" applyFont="1" applyFill="1" applyBorder="1" applyAlignment="1" applyProtection="1">
      <alignment horizontal="center"/>
      <protection locked="0"/>
    </xf>
    <xf numFmtId="9" fontId="21" fillId="13" borderId="9" xfId="3" applyFont="1" applyFill="1" applyBorder="1" applyAlignment="1" applyProtection="1">
      <alignment horizontal="center"/>
      <protection locked="0"/>
    </xf>
    <xf numFmtId="3" fontId="21" fillId="13" borderId="13" xfId="0" applyFont="1" applyFill="1" applyBorder="1" applyAlignment="1" applyProtection="1">
      <alignment horizontal="center"/>
      <protection locked="0"/>
    </xf>
    <xf numFmtId="3" fontId="36" fillId="12" borderId="4" xfId="0" applyFont="1" applyFill="1" applyBorder="1" applyAlignment="1" applyProtection="1">
      <alignment horizontal="center"/>
      <protection locked="0"/>
    </xf>
    <xf numFmtId="3" fontId="22" fillId="13" borderId="15" xfId="0" applyFont="1" applyFill="1" applyBorder="1" applyAlignment="1" applyProtection="1">
      <alignment horizontal="center"/>
      <protection locked="0"/>
    </xf>
    <xf numFmtId="1" fontId="19" fillId="12" borderId="4" xfId="0" applyNumberFormat="1" applyFont="1" applyFill="1" applyBorder="1" applyAlignment="1" applyProtection="1">
      <alignment horizontal="center"/>
      <protection locked="0"/>
    </xf>
    <xf numFmtId="3" fontId="37" fillId="12" borderId="4" xfId="0" applyFont="1" applyFill="1" applyBorder="1" applyProtection="1">
      <protection locked="0"/>
    </xf>
    <xf numFmtId="3" fontId="13" fillId="11" borderId="1" xfId="0" applyNumberFormat="1" applyFont="1" applyFill="1" applyBorder="1" applyAlignment="1">
      <alignment horizontal="center"/>
    </xf>
    <xf numFmtId="3" fontId="1" fillId="11" borderId="6" xfId="0" applyNumberFormat="1" applyFont="1" applyFill="1" applyBorder="1" applyAlignment="1">
      <alignment horizontal="center"/>
    </xf>
    <xf numFmtId="3" fontId="38" fillId="14" borderId="0" xfId="0" applyFont="1" applyFill="1"/>
    <xf numFmtId="1" fontId="3" fillId="7" borderId="4" xfId="0" applyNumberFormat="1" applyFont="1" applyFill="1" applyBorder="1" applyAlignment="1">
      <alignment horizontal="center"/>
    </xf>
    <xf numFmtId="3" fontId="3" fillId="6" borderId="4" xfId="0" applyFont="1" applyFill="1" applyBorder="1" applyAlignment="1">
      <alignment horizontal="center"/>
    </xf>
    <xf numFmtId="3" fontId="17" fillId="0" borderId="4" xfId="0" applyFont="1" applyFill="1" applyBorder="1" applyAlignment="1">
      <alignment horizontal="center"/>
    </xf>
    <xf numFmtId="3" fontId="17" fillId="0" borderId="8" xfId="0" applyFont="1" applyFill="1" applyBorder="1" applyAlignment="1">
      <alignment horizontal="center"/>
    </xf>
    <xf numFmtId="3" fontId="18" fillId="0" borderId="8" xfId="0" applyFont="1" applyFill="1" applyBorder="1" applyAlignment="1">
      <alignment horizontal="center"/>
    </xf>
    <xf numFmtId="3" fontId="17" fillId="0" borderId="7" xfId="0" applyFont="1" applyFill="1" applyBorder="1" applyAlignment="1">
      <alignment horizontal="center"/>
    </xf>
    <xf numFmtId="1" fontId="3" fillId="0" borderId="4" xfId="0" applyNumberFormat="1" applyFont="1" applyFill="1" applyBorder="1" applyAlignment="1"/>
    <xf numFmtId="3" fontId="3" fillId="0" borderId="4" xfId="0" applyFont="1" applyFill="1" applyBorder="1"/>
    <xf numFmtId="3" fontId="3" fillId="0" borderId="4" xfId="0" applyFont="1" applyFill="1" applyBorder="1" applyAlignment="1">
      <alignment horizontal="left"/>
    </xf>
    <xf numFmtId="3" fontId="3" fillId="0" borderId="16" xfId="0" applyFont="1" applyFill="1" applyBorder="1" applyAlignment="1">
      <alignment horizontal="left"/>
    </xf>
    <xf numFmtId="3" fontId="3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 vertical="center"/>
    </xf>
    <xf numFmtId="166" fontId="3" fillId="0" borderId="4" xfId="0" applyNumberFormat="1" applyFont="1" applyFill="1" applyBorder="1" applyAlignment="1">
      <alignment horizontal="center"/>
    </xf>
    <xf numFmtId="0" fontId="3" fillId="0" borderId="10" xfId="2" applyFont="1" applyFill="1" applyBorder="1"/>
    <xf numFmtId="3" fontId="3" fillId="0" borderId="11" xfId="2" applyNumberFormat="1" applyFont="1" applyFill="1" applyBorder="1"/>
    <xf numFmtId="0" fontId="3" fillId="0" borderId="11" xfId="2" applyFont="1" applyFill="1" applyBorder="1"/>
    <xf numFmtId="3" fontId="3" fillId="0" borderId="12" xfId="2" applyNumberFormat="1" applyFont="1" applyFill="1" applyBorder="1"/>
    <xf numFmtId="0" fontId="3" fillId="0" borderId="6" xfId="2" applyFont="1" applyFill="1" applyBorder="1"/>
    <xf numFmtId="3" fontId="3" fillId="0" borderId="9" xfId="2" applyNumberFormat="1" applyFont="1" applyFill="1" applyBorder="1"/>
    <xf numFmtId="0" fontId="3" fillId="0" borderId="9" xfId="2" applyFont="1" applyFill="1" applyBorder="1"/>
    <xf numFmtId="3" fontId="3" fillId="0" borderId="13" xfId="2" applyNumberFormat="1" applyFont="1" applyFill="1" applyBorder="1"/>
    <xf numFmtId="0" fontId="3" fillId="0" borderId="5" xfId="2" applyFont="1" applyFill="1" applyBorder="1"/>
    <xf numFmtId="3" fontId="13" fillId="0" borderId="0" xfId="0" applyFont="1" applyFill="1"/>
    <xf numFmtId="0" fontId="3" fillId="0" borderId="0" xfId="2" applyFont="1" applyFill="1" applyBorder="1"/>
    <xf numFmtId="3" fontId="39" fillId="0" borderId="0" xfId="0" applyFont="1" applyFill="1"/>
    <xf numFmtId="3" fontId="40" fillId="0" borderId="0" xfId="0" applyFont="1" applyFill="1"/>
    <xf numFmtId="3" fontId="23" fillId="0" borderId="0" xfId="0" applyFont="1" applyFill="1"/>
    <xf numFmtId="3" fontId="7" fillId="0" borderId="0" xfId="0" applyFont="1" applyFill="1"/>
    <xf numFmtId="3" fontId="39" fillId="0" borderId="0" xfId="2" applyNumberFormat="1" applyFont="1" applyFill="1" applyBorder="1"/>
    <xf numFmtId="0" fontId="40" fillId="0" borderId="0" xfId="2" applyFont="1" applyFill="1" applyBorder="1"/>
    <xf numFmtId="3" fontId="1" fillId="0" borderId="0" xfId="0" applyFont="1" applyFill="1"/>
    <xf numFmtId="3" fontId="3" fillId="0" borderId="0" xfId="2" applyNumberFormat="1" applyFont="1" applyFill="1" applyBorder="1"/>
    <xf numFmtId="3" fontId="3" fillId="0" borderId="14" xfId="2" applyNumberFormat="1" applyFont="1" applyFill="1" applyBorder="1"/>
    <xf numFmtId="0" fontId="2" fillId="0" borderId="0" xfId="2" applyFont="1" applyFill="1" applyBorder="1"/>
    <xf numFmtId="9" fontId="3" fillId="0" borderId="0" xfId="3" applyFont="1" applyFill="1" applyBorder="1"/>
    <xf numFmtId="3" fontId="3" fillId="0" borderId="10" xfId="0" applyFont="1" applyFill="1" applyBorder="1"/>
    <xf numFmtId="3" fontId="3" fillId="0" borderId="11" xfId="0" applyFont="1" applyFill="1" applyBorder="1"/>
    <xf numFmtId="3" fontId="3" fillId="0" borderId="12" xfId="0" applyNumberFormat="1" applyFont="1" applyFill="1" applyBorder="1"/>
    <xf numFmtId="3" fontId="2" fillId="0" borderId="11" xfId="0" applyFont="1" applyFill="1" applyBorder="1"/>
    <xf numFmtId="3" fontId="13" fillId="0" borderId="6" xfId="0" applyFont="1" applyFill="1" applyBorder="1"/>
    <xf numFmtId="0" fontId="2" fillId="0" borderId="9" xfId="2" applyFont="1" applyFill="1" applyBorder="1"/>
    <xf numFmtId="3" fontId="3" fillId="0" borderId="9" xfId="0" applyFont="1" applyFill="1" applyBorder="1"/>
    <xf numFmtId="3" fontId="13" fillId="0" borderId="13" xfId="0" applyNumberFormat="1" applyFont="1" applyFill="1" applyBorder="1"/>
    <xf numFmtId="166" fontId="3" fillId="0" borderId="10" xfId="2" applyNumberFormat="1" applyFont="1" applyFill="1" applyBorder="1" applyAlignment="1">
      <alignment horizontal="center"/>
    </xf>
    <xf numFmtId="166" fontId="3" fillId="0" borderId="12" xfId="2" applyNumberFormat="1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166" fontId="3" fillId="0" borderId="14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3" fontId="3" fillId="0" borderId="5" xfId="0" applyFont="1" applyFill="1" applyBorder="1"/>
    <xf numFmtId="1" fontId="3" fillId="0" borderId="0" xfId="2" applyNumberFormat="1" applyFont="1" applyFill="1" applyBorder="1"/>
    <xf numFmtId="3" fontId="3" fillId="0" borderId="0" xfId="0" applyNumberFormat="1" applyFont="1" applyFill="1" applyBorder="1"/>
    <xf numFmtId="1" fontId="2" fillId="0" borderId="0" xfId="2" applyNumberFormat="1" applyFont="1" applyFill="1" applyBorder="1"/>
    <xf numFmtId="3" fontId="2" fillId="0" borderId="0" xfId="0" applyFont="1" applyFill="1" applyBorder="1"/>
    <xf numFmtId="1" fontId="3" fillId="0" borderId="11" xfId="0" applyNumberFormat="1" applyFont="1" applyFill="1" applyBorder="1"/>
    <xf numFmtId="3" fontId="3" fillId="0" borderId="9" xfId="0" applyNumberFormat="1" applyFont="1" applyFill="1" applyBorder="1"/>
    <xf numFmtId="3" fontId="3" fillId="0" borderId="11" xfId="0" applyNumberFormat="1" applyFont="1" applyFill="1" applyBorder="1"/>
    <xf numFmtId="3" fontId="3" fillId="0" borderId="14" xfId="0" applyNumberFormat="1" applyFont="1" applyFill="1" applyBorder="1" applyAlignment="1">
      <alignment horizontal="center"/>
    </xf>
    <xf numFmtId="166" fontId="3" fillId="0" borderId="13" xfId="2" applyNumberFormat="1" applyFont="1" applyFill="1" applyBorder="1" applyAlignment="1">
      <alignment horizontal="center"/>
    </xf>
    <xf numFmtId="1" fontId="2" fillId="0" borderId="9" xfId="2" applyNumberFormat="1" applyFont="1" applyFill="1" applyBorder="1"/>
    <xf numFmtId="0" fontId="27" fillId="10" borderId="0" xfId="2" applyFont="1" applyFill="1" applyBorder="1" applyAlignment="1">
      <alignment horizontal="left"/>
    </xf>
    <xf numFmtId="3" fontId="19" fillId="12" borderId="15" xfId="2" applyNumberFormat="1" applyFont="1" applyFill="1" applyBorder="1" applyProtection="1">
      <protection locked="0"/>
    </xf>
    <xf numFmtId="3" fontId="19" fillId="13" borderId="15" xfId="2" applyNumberFormat="1" applyFont="1" applyFill="1" applyBorder="1" applyProtection="1">
      <protection locked="0"/>
    </xf>
    <xf numFmtId="1" fontId="1" fillId="10" borderId="13" xfId="2" applyNumberFormat="1" applyFont="1" applyFill="1" applyBorder="1" applyAlignment="1">
      <alignment horizontal="right"/>
    </xf>
    <xf numFmtId="0" fontId="1" fillId="11" borderId="11" xfId="2" applyFont="1" applyFill="1" applyBorder="1" applyAlignment="1">
      <alignment horizontal="center"/>
    </xf>
    <xf numFmtId="0" fontId="13" fillId="0" borderId="1" xfId="2" applyFont="1" applyFill="1" applyBorder="1"/>
    <xf numFmtId="0" fontId="1" fillId="0" borderId="2" xfId="2" applyFont="1" applyFill="1" applyBorder="1" applyAlignment="1">
      <alignment horizontal="left"/>
    </xf>
    <xf numFmtId="0" fontId="13" fillId="0" borderId="2" xfId="2" applyFont="1" applyFill="1" applyBorder="1" applyAlignment="1">
      <alignment horizontal="left"/>
    </xf>
    <xf numFmtId="1" fontId="13" fillId="0" borderId="2" xfId="2" applyNumberFormat="1" applyFont="1" applyFill="1" applyBorder="1" applyAlignment="1">
      <alignment horizontal="right"/>
    </xf>
    <xf numFmtId="1" fontId="13" fillId="0" borderId="1" xfId="2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3" fillId="0" borderId="0" xfId="2" applyFont="1" applyFill="1" applyBorder="1"/>
    <xf numFmtId="0" fontId="1" fillId="0" borderId="10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left"/>
    </xf>
    <xf numFmtId="1" fontId="13" fillId="0" borderId="11" xfId="2" applyNumberFormat="1" applyFont="1" applyFill="1" applyBorder="1" applyAlignment="1">
      <alignment horizontal="right"/>
    </xf>
    <xf numFmtId="166" fontId="3" fillId="0" borderId="16" xfId="2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left"/>
    </xf>
    <xf numFmtId="0" fontId="13" fillId="0" borderId="9" xfId="2" applyFont="1" applyFill="1" applyBorder="1" applyAlignment="1">
      <alignment horizontal="left"/>
    </xf>
    <xf numFmtId="1" fontId="13" fillId="0" borderId="9" xfId="2" applyNumberFormat="1" applyFont="1" applyFill="1" applyBorder="1" applyAlignment="1">
      <alignment horizontal="right"/>
    </xf>
    <xf numFmtId="166" fontId="3" fillId="0" borderId="7" xfId="2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right"/>
    </xf>
    <xf numFmtId="1" fontId="3" fillId="0" borderId="8" xfId="2" applyNumberFormat="1" applyFont="1" applyFill="1" applyBorder="1" applyAlignment="1">
      <alignment horizontal="center"/>
    </xf>
    <xf numFmtId="0" fontId="3" fillId="0" borderId="9" xfId="2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0" fontId="30" fillId="0" borderId="1" xfId="2" applyFont="1" applyFill="1" applyBorder="1"/>
    <xf numFmtId="3" fontId="22" fillId="0" borderId="2" xfId="0" applyFont="1" applyFill="1" applyBorder="1"/>
    <xf numFmtId="3" fontId="30" fillId="0" borderId="2" xfId="0" applyFont="1" applyFill="1" applyBorder="1"/>
    <xf numFmtId="0" fontId="30" fillId="0" borderId="2" xfId="2" applyFont="1" applyFill="1" applyBorder="1"/>
    <xf numFmtId="169" fontId="30" fillId="0" borderId="2" xfId="3" applyNumberFormat="1" applyFont="1" applyFill="1" applyBorder="1" applyAlignment="1">
      <alignment horizontal="center"/>
    </xf>
    <xf numFmtId="166" fontId="30" fillId="0" borderId="2" xfId="2" applyNumberFormat="1" applyFont="1" applyFill="1" applyBorder="1" applyAlignment="1">
      <alignment horizontal="right"/>
    </xf>
    <xf numFmtId="169" fontId="30" fillId="0" borderId="3" xfId="3" applyNumberFormat="1" applyFont="1" applyFill="1" applyBorder="1" applyAlignment="1">
      <alignment horizontal="right"/>
    </xf>
    <xf numFmtId="3" fontId="3" fillId="0" borderId="12" xfId="0" applyFont="1" applyFill="1" applyBorder="1" applyAlignment="1">
      <alignment horizontal="center"/>
    </xf>
    <xf numFmtId="3" fontId="5" fillId="0" borderId="10" xfId="0" applyFont="1" applyFill="1" applyBorder="1"/>
    <xf numFmtId="3" fontId="5" fillId="0" borderId="12" xfId="1" applyNumberFormat="1" applyFont="1" applyFill="1" applyBorder="1" applyAlignment="1">
      <alignment horizontal="center"/>
    </xf>
    <xf numFmtId="3" fontId="3" fillId="0" borderId="5" xfId="0" applyFont="1" applyFill="1" applyBorder="1" applyAlignment="1">
      <alignment horizontal="center"/>
    </xf>
    <xf numFmtId="3" fontId="3" fillId="0" borderId="14" xfId="0" applyFont="1" applyFill="1" applyBorder="1" applyAlignment="1">
      <alignment horizontal="center"/>
    </xf>
    <xf numFmtId="169" fontId="5" fillId="0" borderId="5" xfId="3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9" fontId="5" fillId="0" borderId="5" xfId="3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3" fontId="3" fillId="0" borderId="6" xfId="0" applyFont="1" applyFill="1" applyBorder="1" applyAlignment="1">
      <alignment horizontal="center"/>
    </xf>
    <xf numFmtId="3" fontId="3" fillId="0" borderId="13" xfId="0" applyFont="1" applyFill="1" applyBorder="1" applyAlignment="1">
      <alignment horizontal="center"/>
    </xf>
    <xf numFmtId="9" fontId="5" fillId="0" borderId="6" xfId="3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3" fontId="8" fillId="0" borderId="1" xfId="0" applyFont="1" applyFill="1" applyBorder="1"/>
    <xf numFmtId="3" fontId="8" fillId="0" borderId="3" xfId="0" applyFont="1" applyFill="1" applyBorder="1"/>
    <xf numFmtId="3" fontId="8" fillId="0" borderId="1" xfId="0" applyFont="1" applyFill="1" applyBorder="1" applyAlignment="1"/>
    <xf numFmtId="3" fontId="8" fillId="0" borderId="3" xfId="0" applyFont="1" applyFill="1" applyBorder="1" applyAlignment="1"/>
    <xf numFmtId="9" fontId="5" fillId="0" borderId="10" xfId="3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3" fillId="0" borderId="3" xfId="0" applyFont="1" applyFill="1" applyBorder="1"/>
    <xf numFmtId="169" fontId="5" fillId="0" borderId="6" xfId="3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3" fillId="0" borderId="0" xfId="0" applyFont="1" applyFill="1" applyAlignment="1">
      <alignment horizontal="right"/>
    </xf>
    <xf numFmtId="3" fontId="5" fillId="0" borderId="16" xfId="0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67" fontId="5" fillId="0" borderId="7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/>
    </xf>
    <xf numFmtId="3" fontId="3" fillId="0" borderId="12" xfId="0" applyFont="1" applyFill="1" applyBorder="1"/>
    <xf numFmtId="3" fontId="3" fillId="0" borderId="16" xfId="0" applyFont="1" applyFill="1" applyBorder="1" applyAlignment="1">
      <alignment horizontal="center"/>
    </xf>
    <xf numFmtId="3" fontId="3" fillId="0" borderId="6" xfId="0" applyFont="1" applyFill="1" applyBorder="1"/>
    <xf numFmtId="3" fontId="3" fillId="0" borderId="13" xfId="0" applyFont="1" applyFill="1" applyBorder="1"/>
    <xf numFmtId="3" fontId="3" fillId="0" borderId="9" xfId="0" applyFont="1" applyFill="1" applyBorder="1" applyAlignment="1">
      <alignment horizontal="center"/>
    </xf>
    <xf numFmtId="3" fontId="3" fillId="0" borderId="8" xfId="0" applyFont="1" applyFill="1" applyBorder="1" applyAlignment="1">
      <alignment horizontal="center"/>
    </xf>
    <xf numFmtId="3" fontId="3" fillId="0" borderId="4" xfId="0" applyFont="1" applyFill="1" applyBorder="1" applyAlignment="1">
      <alignment horizontal="center"/>
    </xf>
    <xf numFmtId="3" fontId="3" fillId="0" borderId="1" xfId="0" applyFont="1" applyFill="1" applyBorder="1"/>
    <xf numFmtId="3" fontId="3" fillId="0" borderId="2" xfId="0" applyFont="1" applyFill="1" applyBorder="1"/>
    <xf numFmtId="3" fontId="3" fillId="0" borderId="2" xfId="0" applyFont="1" applyFill="1" applyBorder="1" applyAlignment="1">
      <alignment horizontal="center"/>
    </xf>
    <xf numFmtId="3" fontId="3" fillId="0" borderId="3" xfId="0" applyFont="1" applyFill="1" applyBorder="1" applyAlignment="1">
      <alignment horizontal="center"/>
    </xf>
    <xf numFmtId="3" fontId="5" fillId="0" borderId="6" xfId="0" applyFont="1" applyFill="1" applyBorder="1"/>
    <xf numFmtId="3" fontId="5" fillId="0" borderId="5" xfId="0" applyFont="1" applyFill="1" applyBorder="1"/>
    <xf numFmtId="3" fontId="3" fillId="0" borderId="7" xfId="0" applyFont="1" applyFill="1" applyBorder="1" applyAlignment="1">
      <alignment horizontal="center"/>
    </xf>
    <xf numFmtId="3" fontId="3" fillId="0" borderId="10" xfId="0" applyFont="1" applyFill="1" applyBorder="1" applyAlignment="1">
      <alignment horizontal="left"/>
    </xf>
    <xf numFmtId="3" fontId="3" fillId="0" borderId="5" xfId="0" applyFont="1" applyFill="1" applyBorder="1" applyAlignment="1">
      <alignment horizontal="left" vertical="center" wrapText="1"/>
    </xf>
    <xf numFmtId="3" fontId="3" fillId="0" borderId="5" xfId="0" applyFont="1" applyFill="1" applyBorder="1" applyAlignment="1">
      <alignment horizontal="left"/>
    </xf>
    <xf numFmtId="3" fontId="3" fillId="0" borderId="6" xfId="0" applyFont="1" applyFill="1" applyBorder="1" applyAlignment="1">
      <alignment horizontal="left"/>
    </xf>
    <xf numFmtId="3" fontId="3" fillId="0" borderId="8" xfId="0" applyFont="1" applyFill="1" applyBorder="1" applyAlignment="1">
      <alignment horizontal="left"/>
    </xf>
    <xf numFmtId="3" fontId="3" fillId="0" borderId="8" xfId="0" applyFont="1" applyFill="1" applyBorder="1"/>
    <xf numFmtId="3" fontId="3" fillId="0" borderId="7" xfId="0" applyFont="1" applyFill="1" applyBorder="1"/>
    <xf numFmtId="3" fontId="13" fillId="0" borderId="0" xfId="0" applyFont="1" applyFill="1" applyBorder="1" applyAlignment="1">
      <alignment horizontal="left"/>
    </xf>
    <xf numFmtId="3" fontId="3" fillId="0" borderId="0" xfId="0" applyFont="1" applyFill="1" applyBorder="1" applyAlignment="1">
      <alignment horizontal="left"/>
    </xf>
    <xf numFmtId="9" fontId="13" fillId="0" borderId="0" xfId="3" applyFont="1" applyFill="1" applyBorder="1" applyAlignment="1"/>
    <xf numFmtId="170" fontId="13" fillId="0" borderId="15" xfId="0" applyNumberFormat="1" applyFont="1" applyFill="1" applyBorder="1" applyAlignment="1"/>
    <xf numFmtId="170" fontId="13" fillId="0" borderId="2" xfId="0" applyNumberFormat="1" applyFont="1" applyFill="1" applyBorder="1" applyAlignment="1"/>
    <xf numFmtId="170" fontId="13" fillId="0" borderId="3" xfId="0" applyNumberFormat="1" applyFont="1" applyFill="1" applyBorder="1" applyAlignment="1"/>
    <xf numFmtId="170" fontId="3" fillId="0" borderId="4" xfId="0" applyNumberFormat="1" applyFont="1" applyFill="1" applyBorder="1" applyAlignment="1">
      <alignment horizontal="center"/>
    </xf>
    <xf numFmtId="3" fontId="13" fillId="0" borderId="15" xfId="0" applyFont="1" applyFill="1" applyBorder="1"/>
    <xf numFmtId="170" fontId="13" fillId="0" borderId="4" xfId="0" applyNumberFormat="1" applyFont="1" applyFill="1" applyBorder="1" applyAlignment="1">
      <alignment horizontal="center"/>
    </xf>
    <xf numFmtId="3" fontId="3" fillId="0" borderId="7" xfId="0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9" fontId="5" fillId="7" borderId="4" xfId="3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9" fontId="21" fillId="13" borderId="10" xfId="3" applyNumberFormat="1" applyFont="1" applyFill="1" applyBorder="1" applyAlignment="1" applyProtection="1">
      <alignment horizontal="center"/>
      <protection locked="0"/>
    </xf>
    <xf numFmtId="9" fontId="21" fillId="13" borderId="5" xfId="3" applyNumberFormat="1" applyFont="1" applyFill="1" applyBorder="1" applyAlignment="1" applyProtection="1">
      <alignment horizontal="center"/>
      <protection locked="0"/>
    </xf>
    <xf numFmtId="9" fontId="21" fillId="13" borderId="6" xfId="3" applyNumberFormat="1" applyFont="1" applyFill="1" applyBorder="1" applyAlignment="1" applyProtection="1">
      <alignment horizontal="center"/>
      <protection locked="0"/>
    </xf>
    <xf numFmtId="1" fontId="19" fillId="12" borderId="17" xfId="0" applyNumberFormat="1" applyFont="1" applyFill="1" applyBorder="1" applyAlignment="1" applyProtection="1">
      <alignment horizontal="center"/>
      <protection locked="0"/>
    </xf>
    <xf numFmtId="3" fontId="19" fillId="13" borderId="18" xfId="2" applyNumberFormat="1" applyFont="1" applyFill="1" applyBorder="1" applyProtection="1">
      <protection locked="0"/>
    </xf>
    <xf numFmtId="3" fontId="19" fillId="13" borderId="19" xfId="2" applyNumberFormat="1" applyFont="1" applyFill="1" applyBorder="1" applyProtection="1">
      <protection locked="0"/>
    </xf>
    <xf numFmtId="3" fontId="19" fillId="12" borderId="15" xfId="0" applyFont="1" applyFill="1" applyBorder="1" applyProtection="1">
      <protection locked="0"/>
    </xf>
    <xf numFmtId="1" fontId="19" fillId="12" borderId="15" xfId="2" applyNumberFormat="1" applyFont="1" applyFill="1" applyBorder="1" applyAlignment="1" applyProtection="1">
      <alignment horizontal="center"/>
      <protection locked="0"/>
    </xf>
    <xf numFmtId="9" fontId="19" fillId="12" borderId="15" xfId="3" applyFont="1" applyFill="1" applyBorder="1" applyProtection="1">
      <protection locked="0"/>
    </xf>
    <xf numFmtId="9" fontId="19" fillId="13" borderId="15" xfId="3" applyFont="1" applyFill="1" applyBorder="1" applyProtection="1">
      <protection locked="0"/>
    </xf>
    <xf numFmtId="0" fontId="19" fillId="13" borderId="15" xfId="2" applyFont="1" applyFill="1" applyBorder="1" applyProtection="1">
      <protection locked="0"/>
    </xf>
    <xf numFmtId="3" fontId="3" fillId="0" borderId="16" xfId="0" applyFont="1" applyBorder="1"/>
    <xf numFmtId="3" fontId="3" fillId="0" borderId="7" xfId="0" applyFont="1" applyBorder="1"/>
    <xf numFmtId="3" fontId="3" fillId="0" borderId="11" xfId="0" applyFont="1" applyFill="1" applyBorder="1" applyAlignment="1">
      <alignment horizontal="right"/>
    </xf>
    <xf numFmtId="3" fontId="3" fillId="0" borderId="12" xfId="0" applyFont="1" applyFill="1" applyBorder="1" applyAlignment="1">
      <alignment horizontal="right"/>
    </xf>
    <xf numFmtId="3" fontId="3" fillId="0" borderId="0" xfId="0" applyFont="1" applyFill="1" applyBorder="1" applyAlignment="1">
      <alignment horizontal="right"/>
    </xf>
    <xf numFmtId="3" fontId="3" fillId="0" borderId="14" xfId="0" applyFont="1" applyFill="1" applyBorder="1"/>
    <xf numFmtId="3" fontId="3" fillId="0" borderId="9" xfId="0" applyFont="1" applyFill="1" applyBorder="1" applyAlignment="1">
      <alignment horizontal="right"/>
    </xf>
    <xf numFmtId="3" fontId="3" fillId="0" borderId="13" xfId="0" applyFont="1" applyFill="1" applyBorder="1" applyAlignment="1">
      <alignment horizontal="right"/>
    </xf>
    <xf numFmtId="1" fontId="22" fillId="13" borderId="16" xfId="0" applyNumberFormat="1" applyFont="1" applyFill="1" applyBorder="1" applyAlignment="1" applyProtection="1">
      <alignment horizontal="center"/>
      <protection locked="0"/>
    </xf>
    <xf numFmtId="3" fontId="20" fillId="8" borderId="0" xfId="0" applyFont="1" applyFill="1" applyProtection="1">
      <protection locked="0"/>
    </xf>
    <xf numFmtId="3" fontId="3" fillId="8" borderId="0" xfId="0" applyFont="1" applyFill="1" applyProtection="1">
      <protection locked="0"/>
    </xf>
    <xf numFmtId="3" fontId="21" fillId="8" borderId="0" xfId="0" applyFont="1" applyFill="1" applyAlignment="1" applyProtection="1">
      <alignment horizontal="center"/>
      <protection locked="0"/>
    </xf>
    <xf numFmtId="9" fontId="21" fillId="8" borderId="0" xfId="0" applyNumberFormat="1" applyFont="1" applyFill="1" applyAlignment="1" applyProtection="1">
      <alignment horizontal="center"/>
      <protection locked="0"/>
    </xf>
    <xf numFmtId="3" fontId="3" fillId="0" borderId="0" xfId="0" applyFont="1" applyProtection="1">
      <protection locked="0"/>
    </xf>
    <xf numFmtId="9" fontId="3" fillId="6" borderId="16" xfId="0" applyNumberFormat="1" applyFont="1" applyFill="1" applyBorder="1" applyAlignment="1">
      <alignment horizontal="center"/>
    </xf>
    <xf numFmtId="9" fontId="3" fillId="6" borderId="7" xfId="0" applyNumberFormat="1" applyFont="1" applyFill="1" applyBorder="1" applyAlignment="1">
      <alignment horizontal="center"/>
    </xf>
    <xf numFmtId="3" fontId="18" fillId="0" borderId="16" xfId="0" applyFont="1" applyFill="1" applyBorder="1" applyAlignment="1">
      <alignment horizontal="center"/>
    </xf>
    <xf numFmtId="3" fontId="18" fillId="0" borderId="7" xfId="0" applyFont="1" applyFill="1" applyBorder="1" applyAlignment="1">
      <alignment horizontal="center"/>
    </xf>
    <xf numFmtId="9" fontId="3" fillId="8" borderId="0" xfId="3" applyFont="1" applyFill="1" applyAlignment="1"/>
    <xf numFmtId="9" fontId="3" fillId="6" borderId="0" xfId="0" applyNumberFormat="1" applyFont="1" applyFill="1" applyBorder="1" applyAlignment="1">
      <alignment horizontal="center"/>
    </xf>
    <xf numFmtId="3" fontId="18" fillId="0" borderId="0" xfId="0" applyFont="1" applyFill="1" applyBorder="1" applyAlignment="1">
      <alignment horizontal="center"/>
    </xf>
    <xf numFmtId="3" fontId="41" fillId="0" borderId="4" xfId="0" applyFont="1" applyBorder="1"/>
    <xf numFmtId="3" fontId="41" fillId="0" borderId="16" xfId="0" applyFont="1" applyBorder="1"/>
    <xf numFmtId="3" fontId="3" fillId="6" borderId="16" xfId="0" applyFont="1" applyFill="1" applyBorder="1" applyAlignment="1">
      <alignment horizontal="center"/>
    </xf>
    <xf numFmtId="3" fontId="3" fillId="6" borderId="8" xfId="0" applyFont="1" applyFill="1" applyBorder="1" applyAlignment="1">
      <alignment horizontal="center"/>
    </xf>
    <xf numFmtId="3" fontId="3" fillId="6" borderId="7" xfId="0" applyFont="1" applyFill="1" applyBorder="1" applyAlignment="1">
      <alignment horizontal="center"/>
    </xf>
    <xf numFmtId="3" fontId="18" fillId="0" borderId="4" xfId="0" applyFont="1" applyFill="1" applyBorder="1" applyAlignment="1">
      <alignment horizontal="center"/>
    </xf>
    <xf numFmtId="9" fontId="3" fillId="6" borderId="10" xfId="3" applyFont="1" applyFill="1" applyBorder="1" applyAlignment="1">
      <alignment horizontal="center"/>
    </xf>
    <xf numFmtId="3" fontId="17" fillId="0" borderId="16" xfId="0" applyFont="1" applyFill="1" applyBorder="1" applyAlignment="1">
      <alignment horizontal="center"/>
    </xf>
    <xf numFmtId="9" fontId="3" fillId="6" borderId="6" xfId="3" applyFont="1" applyFill="1" applyBorder="1" applyAlignment="1">
      <alignment horizontal="center"/>
    </xf>
    <xf numFmtId="3" fontId="3" fillId="8" borderId="16" xfId="0" applyFont="1" applyFill="1" applyBorder="1" applyAlignment="1">
      <alignment horizontal="center"/>
    </xf>
    <xf numFmtId="9" fontId="3" fillId="8" borderId="7" xfId="3" applyFont="1" applyFill="1" applyBorder="1" applyAlignment="1">
      <alignment horizontal="center"/>
    </xf>
    <xf numFmtId="9" fontId="3" fillId="8" borderId="1" xfId="0" applyNumberFormat="1" applyFont="1" applyFill="1" applyBorder="1" applyAlignment="1">
      <alignment horizontal="center"/>
    </xf>
    <xf numFmtId="9" fontId="18" fillId="8" borderId="3" xfId="3" applyFont="1" applyFill="1" applyBorder="1" applyAlignment="1">
      <alignment horizontal="center"/>
    </xf>
    <xf numFmtId="3" fontId="0" fillId="0" borderId="0" xfId="0" applyFont="1" applyAlignment="1"/>
    <xf numFmtId="3" fontId="5" fillId="7" borderId="0" xfId="0" applyNumberFormat="1" applyFont="1" applyFill="1" applyBorder="1" applyAlignment="1">
      <alignment horizontal="center"/>
    </xf>
    <xf numFmtId="3" fontId="42" fillId="4" borderId="0" xfId="0" applyFont="1" applyFill="1"/>
    <xf numFmtId="9" fontId="19" fillId="12" borderId="4" xfId="3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/>
    <xf numFmtId="3" fontId="43" fillId="17" borderId="1" xfId="4" applyFont="1" applyFill="1" applyBorder="1" applyAlignment="1">
      <alignment horizontal="center" vertical="center" wrapText="1"/>
    </xf>
    <xf numFmtId="3" fontId="43" fillId="17" borderId="4" xfId="4" applyFont="1" applyFill="1" applyBorder="1" applyAlignment="1">
      <alignment horizontal="center" vertical="center" wrapText="1"/>
    </xf>
    <xf numFmtId="171" fontId="41" fillId="0" borderId="10" xfId="4" applyNumberFormat="1" applyFont="1" applyFill="1" applyBorder="1" applyAlignment="1">
      <alignment horizontal="left"/>
    </xf>
    <xf numFmtId="1" fontId="44" fillId="16" borderId="4" xfId="3" applyNumberFormat="1" applyFont="1" applyFill="1" applyBorder="1" applyAlignment="1">
      <alignment horizontal="center"/>
    </xf>
    <xf numFmtId="171" fontId="41" fillId="0" borderId="5" xfId="4" applyNumberFormat="1" applyFont="1" applyFill="1" applyBorder="1" applyAlignment="1">
      <alignment horizontal="left"/>
    </xf>
    <xf numFmtId="172" fontId="41" fillId="0" borderId="5" xfId="4" applyNumberFormat="1" applyFont="1" applyFill="1" applyBorder="1" applyAlignment="1">
      <alignment horizontal="left"/>
    </xf>
    <xf numFmtId="3" fontId="45" fillId="0" borderId="1" xfId="4" applyFont="1" applyFill="1" applyBorder="1"/>
    <xf numFmtId="4" fontId="45" fillId="0" borderId="4" xfId="4" applyNumberFormat="1" applyFont="1" applyFill="1" applyBorder="1" applyAlignment="1">
      <alignment horizontal="center"/>
    </xf>
    <xf numFmtId="173" fontId="41" fillId="0" borderId="5" xfId="4" applyNumberFormat="1" applyFont="1" applyFill="1" applyBorder="1" applyAlignment="1">
      <alignment horizontal="left"/>
    </xf>
    <xf numFmtId="174" fontId="41" fillId="0" borderId="5" xfId="4" applyNumberFormat="1" applyFont="1" applyFill="1" applyBorder="1" applyAlignment="1">
      <alignment horizontal="left"/>
    </xf>
    <xf numFmtId="4" fontId="41" fillId="0" borderId="4" xfId="4" applyNumberFormat="1" applyFont="1" applyFill="1" applyBorder="1" applyAlignment="1">
      <alignment horizontal="center"/>
    </xf>
    <xf numFmtId="3" fontId="41" fillId="0" borderId="1" xfId="4" applyFont="1" applyFill="1" applyBorder="1"/>
    <xf numFmtId="3" fontId="45" fillId="0" borderId="2" xfId="4" applyFont="1" applyFill="1" applyBorder="1" applyAlignment="1">
      <alignment horizontal="center"/>
    </xf>
    <xf numFmtId="9" fontId="3" fillId="7" borderId="4" xfId="3" applyFont="1" applyFill="1" applyBorder="1" applyAlignment="1">
      <alignment horizontal="center"/>
    </xf>
    <xf numFmtId="173" fontId="41" fillId="0" borderId="10" xfId="4" applyNumberFormat="1" applyFont="1" applyFill="1" applyBorder="1" applyAlignment="1">
      <alignment horizontal="left"/>
    </xf>
    <xf numFmtId="173" fontId="41" fillId="0" borderId="6" xfId="4" applyNumberFormat="1" applyFont="1" applyFill="1" applyBorder="1" applyAlignment="1">
      <alignment horizontal="left"/>
    </xf>
    <xf numFmtId="3" fontId="2" fillId="0" borderId="14" xfId="2" applyNumberFormat="1" applyFont="1" applyFill="1" applyBorder="1"/>
    <xf numFmtId="166" fontId="2" fillId="0" borderId="5" xfId="2" applyNumberFormat="1" applyFont="1" applyFill="1" applyBorder="1" applyAlignment="1">
      <alignment horizontal="center"/>
    </xf>
    <xf numFmtId="175" fontId="3" fillId="7" borderId="4" xfId="0" applyNumberFormat="1" applyFont="1" applyFill="1" applyBorder="1" applyAlignment="1">
      <alignment horizontal="center"/>
    </xf>
    <xf numFmtId="3" fontId="13" fillId="8" borderId="0" xfId="0" applyFont="1" applyFill="1" applyAlignment="1">
      <alignment horizontal="left"/>
    </xf>
    <xf numFmtId="168" fontId="3" fillId="8" borderId="0" xfId="0" applyNumberFormat="1" applyFont="1" applyFill="1"/>
    <xf numFmtId="3" fontId="48" fillId="4" borderId="0" xfId="0" applyFont="1" applyFill="1"/>
    <xf numFmtId="1" fontId="0" fillId="15" borderId="4" xfId="0" applyNumberFormat="1" applyFont="1" applyFill="1" applyBorder="1" applyAlignment="1"/>
    <xf numFmtId="168" fontId="3" fillId="0" borderId="0" xfId="2" applyNumberFormat="1" applyFont="1" applyFill="1" applyBorder="1"/>
    <xf numFmtId="168" fontId="19" fillId="13" borderId="19" xfId="2" applyNumberFormat="1" applyFont="1" applyFill="1" applyBorder="1" applyProtection="1">
      <protection locked="0"/>
    </xf>
    <xf numFmtId="3" fontId="14" fillId="4" borderId="0" xfId="0" applyFont="1" applyFill="1" applyAlignment="1">
      <alignment horizontal="right"/>
    </xf>
    <xf numFmtId="1" fontId="3" fillId="0" borderId="0" xfId="0" applyNumberFormat="1" applyFont="1" applyFill="1" applyBorder="1"/>
    <xf numFmtId="166" fontId="30" fillId="5" borderId="2" xfId="2" applyNumberFormat="1" applyFont="1" applyFill="1" applyBorder="1" applyAlignment="1">
      <alignment horizontal="right"/>
    </xf>
  </cellXfs>
  <cellStyles count="98"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Milliers" xfId="1" builtinId="3"/>
    <cellStyle name="Normal" xfId="0" builtinId="0"/>
    <cellStyle name="Normal 2" xfId="4"/>
    <cellStyle name="Normal_X-PRODEL" xfId="2"/>
    <cellStyle name="Pourcentage" xfId="3" builtinId="5"/>
    <cellStyle name="Pourcentage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Aide à la decision pour l'introduction des pailles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Rentabilité avec paille</c:v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0.0</c:v>
              </c:pt>
              <c:pt idx="1">
                <c:v>5.0</c:v>
              </c:pt>
              <c:pt idx="2">
                <c:v>10.0</c:v>
              </c:pt>
              <c:pt idx="3">
                <c:v>15.0</c:v>
              </c:pt>
              <c:pt idx="4">
                <c:v>20.0</c:v>
              </c:pt>
              <c:pt idx="5">
                <c:v>25.0</c:v>
              </c:pt>
              <c:pt idx="6">
                <c:v>30.0</c:v>
              </c:pt>
              <c:pt idx="7">
                <c:v>35.0</c:v>
              </c:pt>
              <c:pt idx="8">
                <c:v>40.0</c:v>
              </c:pt>
              <c:pt idx="9">
                <c:v>45.0</c:v>
              </c:pt>
              <c:pt idx="10">
                <c:v>50.0</c:v>
              </c:pt>
            </c:numLit>
          </c:cat>
          <c:val>
            <c:numLit>
              <c:formatCode>General</c:formatCode>
              <c:ptCount val="11"/>
              <c:pt idx="0">
                <c:v>37.49909663948426</c:v>
              </c:pt>
              <c:pt idx="1">
                <c:v>39.46552600968672</c:v>
              </c:pt>
              <c:pt idx="2">
                <c:v>41.43195537988917</c:v>
              </c:pt>
              <c:pt idx="3">
                <c:v>43.39838475009162</c:v>
              </c:pt>
              <c:pt idx="4">
                <c:v>45.36481412029404</c:v>
              </c:pt>
              <c:pt idx="5">
                <c:v>47.33124349049636</c:v>
              </c:pt>
              <c:pt idx="6">
                <c:v>49.29767286069897</c:v>
              </c:pt>
              <c:pt idx="7">
                <c:v>51.2641022309015</c:v>
              </c:pt>
              <c:pt idx="8">
                <c:v>53.2305316011039</c:v>
              </c:pt>
              <c:pt idx="9">
                <c:v>55.19696097130635</c:v>
              </c:pt>
              <c:pt idx="10">
                <c:v>57.1633903415088</c:v>
              </c:pt>
            </c:numLit>
          </c:val>
          <c:smooth val="0"/>
        </c:ser>
        <c:ser>
          <c:idx val="1"/>
          <c:order val="1"/>
          <c:tx>
            <c:v> Rentabilité sans paille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1"/>
              <c:pt idx="0">
                <c:v>0.0</c:v>
              </c:pt>
              <c:pt idx="1">
                <c:v>5.0</c:v>
              </c:pt>
              <c:pt idx="2">
                <c:v>10.0</c:v>
              </c:pt>
              <c:pt idx="3">
                <c:v>15.0</c:v>
              </c:pt>
              <c:pt idx="4">
                <c:v>20.0</c:v>
              </c:pt>
              <c:pt idx="5">
                <c:v>25.0</c:v>
              </c:pt>
              <c:pt idx="6">
                <c:v>30.0</c:v>
              </c:pt>
              <c:pt idx="7">
                <c:v>35.0</c:v>
              </c:pt>
              <c:pt idx="8">
                <c:v>40.0</c:v>
              </c:pt>
              <c:pt idx="9">
                <c:v>45.0</c:v>
              </c:pt>
              <c:pt idx="10">
                <c:v>50.0</c:v>
              </c:pt>
            </c:numLit>
          </c:cat>
          <c:val>
            <c:numLit>
              <c:formatCode>General</c:formatCode>
              <c:ptCount val="11"/>
              <c:pt idx="0">
                <c:v>34.1</c:v>
              </c:pt>
              <c:pt idx="1">
                <c:v>34.1</c:v>
              </c:pt>
              <c:pt idx="2">
                <c:v>34.1</c:v>
              </c:pt>
              <c:pt idx="3">
                <c:v>34.1</c:v>
              </c:pt>
              <c:pt idx="4">
                <c:v>34.1</c:v>
              </c:pt>
              <c:pt idx="5">
                <c:v>34.1</c:v>
              </c:pt>
              <c:pt idx="6">
                <c:v>34.1</c:v>
              </c:pt>
              <c:pt idx="7">
                <c:v>34.1</c:v>
              </c:pt>
              <c:pt idx="8">
                <c:v>34.1</c:v>
              </c:pt>
              <c:pt idx="9">
                <c:v>34.1</c:v>
              </c:pt>
              <c:pt idx="10">
                <c:v>34.1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22456"/>
        <c:axId val="420435800"/>
      </c:lineChart>
      <c:catAx>
        <c:axId val="420422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coût de récolte et de manutention des pailles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204358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420435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Rentabilité du projet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420422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</xdr:row>
      <xdr:rowOff>0</xdr:rowOff>
    </xdr:from>
    <xdr:to>
      <xdr:col>2</xdr:col>
      <xdr:colOff>736600</xdr:colOff>
      <xdr:row>10</xdr:row>
      <xdr:rowOff>165100</xdr:rowOff>
    </xdr:to>
    <xdr:sp macro="" textlink="">
      <xdr:nvSpPr>
        <xdr:cNvPr id="50177" name="Rectangle 1"/>
        <xdr:cNvSpPr>
          <a:spLocks noChangeArrowheads="1"/>
        </xdr:cNvSpPr>
      </xdr:nvSpPr>
      <xdr:spPr bwMode="auto">
        <a:xfrm>
          <a:off x="292100" y="1041400"/>
          <a:ext cx="12827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Cellules rouges sur fond jaune : valeurs à entrer par l'utilisateur</a:t>
          </a:r>
        </a:p>
      </xdr:txBody>
    </xdr:sp>
    <xdr:clientData/>
  </xdr:twoCellAnchor>
  <xdr:twoCellAnchor>
    <xdr:from>
      <xdr:col>0</xdr:col>
      <xdr:colOff>292100</xdr:colOff>
      <xdr:row>12</xdr:row>
      <xdr:rowOff>38100</xdr:rowOff>
    </xdr:from>
    <xdr:to>
      <xdr:col>2</xdr:col>
      <xdr:colOff>736600</xdr:colOff>
      <xdr:row>17</xdr:row>
      <xdr:rowOff>127000</xdr:rowOff>
    </xdr:to>
    <xdr:sp macro="" textlink="">
      <xdr:nvSpPr>
        <xdr:cNvPr id="50178" name="Rectangle 2"/>
        <xdr:cNvSpPr>
          <a:spLocks noChangeArrowheads="1"/>
        </xdr:cNvSpPr>
      </xdr:nvSpPr>
      <xdr:spPr bwMode="auto">
        <a:xfrm>
          <a:off x="292100" y="2235200"/>
          <a:ext cx="12827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Cellules bleues sur fond orange : valeurs par défaut, modifiables par l'utilisateur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2590800</xdr:colOff>
      <xdr:row>38</xdr:row>
      <xdr:rowOff>0</xdr:rowOff>
    </xdr:from>
    <xdr:to>
      <xdr:col>3</xdr:col>
      <xdr:colOff>0</xdr:colOff>
      <xdr:row>43</xdr:row>
      <xdr:rowOff>139700</xdr:rowOff>
    </xdr:to>
    <xdr:sp macro="" textlink="">
      <xdr:nvSpPr>
        <xdr:cNvPr id="30774" name="Rectangle 54"/>
        <xdr:cNvSpPr>
          <a:spLocks noChangeArrowheads="1"/>
        </xdr:cNvSpPr>
      </xdr:nvSpPr>
      <xdr:spPr bwMode="auto">
        <a:xfrm>
          <a:off x="2425700" y="6769100"/>
          <a:ext cx="8255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Tonnage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les tonnages pour chaque catégorie de matières</a:t>
          </a:r>
        </a:p>
      </xdr:txBody>
    </xdr:sp>
    <xdr:clientData/>
  </xdr:twoCellAnchor>
  <xdr:twoCellAnchor>
    <xdr:from>
      <xdr:col>8</xdr:col>
      <xdr:colOff>698500</xdr:colOff>
      <xdr:row>38</xdr:row>
      <xdr:rowOff>25400</xdr:rowOff>
    </xdr:from>
    <xdr:to>
      <xdr:col>11</xdr:col>
      <xdr:colOff>876300</xdr:colOff>
      <xdr:row>44</xdr:row>
      <xdr:rowOff>0</xdr:rowOff>
    </xdr:to>
    <xdr:sp macro="" textlink="">
      <xdr:nvSpPr>
        <xdr:cNvPr id="30775" name="Rectangle 55"/>
        <xdr:cNvSpPr>
          <a:spLocks noChangeArrowheads="1"/>
        </xdr:cNvSpPr>
      </xdr:nvSpPr>
      <xdr:spPr bwMode="auto">
        <a:xfrm>
          <a:off x="8051800" y="6794500"/>
          <a:ext cx="248920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Déjections actuellement épandues par l'agriculteur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1</a:t>
          </a:r>
        </a:p>
      </xdr:txBody>
    </xdr:sp>
    <xdr:clientData/>
  </xdr:twoCellAnchor>
  <xdr:twoCellAnchor>
    <xdr:from>
      <xdr:col>12</xdr:col>
      <xdr:colOff>101600</xdr:colOff>
      <xdr:row>38</xdr:row>
      <xdr:rowOff>25400</xdr:rowOff>
    </xdr:from>
    <xdr:to>
      <xdr:col>14</xdr:col>
      <xdr:colOff>457200</xdr:colOff>
      <xdr:row>43</xdr:row>
      <xdr:rowOff>101600</xdr:rowOff>
    </xdr:to>
    <xdr:sp macro="" textlink="">
      <xdr:nvSpPr>
        <xdr:cNvPr id="30776" name="Rectangle 56"/>
        <xdr:cNvSpPr>
          <a:spLocks noChangeArrowheads="1"/>
        </xdr:cNvSpPr>
      </xdr:nvSpPr>
      <xdr:spPr bwMode="auto">
        <a:xfrm>
          <a:off x="10858500" y="6794500"/>
          <a:ext cx="177800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Déchets à redevance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entrer 1 si le substrat donne lieu à redevance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(voir feuille ECONOMIE)</a:t>
          </a:r>
        </a:p>
      </xdr:txBody>
    </xdr:sp>
    <xdr:clientData/>
  </xdr:twoCellAnchor>
  <xdr:twoCellAnchor>
    <xdr:from>
      <xdr:col>3</xdr:col>
      <xdr:colOff>152400</xdr:colOff>
      <xdr:row>38</xdr:row>
      <xdr:rowOff>12700</xdr:rowOff>
    </xdr:from>
    <xdr:to>
      <xdr:col>7</xdr:col>
      <xdr:colOff>0</xdr:colOff>
      <xdr:row>44</xdr:row>
      <xdr:rowOff>0</xdr:rowOff>
    </xdr:to>
    <xdr:sp macro="" textlink="">
      <xdr:nvSpPr>
        <xdr:cNvPr id="30777" name="Rectangle 57"/>
        <xdr:cNvSpPr>
          <a:spLocks noChangeArrowheads="1"/>
        </xdr:cNvSpPr>
      </xdr:nvSpPr>
      <xdr:spPr bwMode="auto">
        <a:xfrm>
          <a:off x="3403600" y="6781800"/>
          <a:ext cx="36195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caractéristiques des substrats</a:t>
          </a:r>
          <a:endParaRPr lang="fr-FR" sz="900" b="0" i="0" u="none" strike="noStrike" baseline="0">
            <a:solidFill>
              <a:srgbClr val="00009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modifier la teneur en matière sèche si nécessaire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Eventuellement modifier les autres paramètres sur la base de fiches d'analyse produit</a:t>
          </a:r>
        </a:p>
      </xdr:txBody>
    </xdr:sp>
    <xdr:clientData/>
  </xdr:twoCellAnchor>
  <xdr:twoCellAnchor>
    <xdr:from>
      <xdr:col>4</xdr:col>
      <xdr:colOff>25400</xdr:colOff>
      <xdr:row>46</xdr:row>
      <xdr:rowOff>139700</xdr:rowOff>
    </xdr:from>
    <xdr:to>
      <xdr:col>5</xdr:col>
      <xdr:colOff>723900</xdr:colOff>
      <xdr:row>50</xdr:row>
      <xdr:rowOff>25400</xdr:rowOff>
    </xdr:to>
    <xdr:sp macro="" textlink="">
      <xdr:nvSpPr>
        <xdr:cNvPr id="30817" name="Line 61"/>
        <xdr:cNvSpPr>
          <a:spLocks noChangeShapeType="1"/>
        </xdr:cNvSpPr>
      </xdr:nvSpPr>
      <xdr:spPr bwMode="auto">
        <a:xfrm flipH="1" flipV="1">
          <a:off x="4102100" y="8153400"/>
          <a:ext cx="1435100" cy="508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736600</xdr:colOff>
      <xdr:row>49</xdr:row>
      <xdr:rowOff>25400</xdr:rowOff>
    </xdr:from>
    <xdr:to>
      <xdr:col>9</xdr:col>
      <xdr:colOff>266700</xdr:colOff>
      <xdr:row>51</xdr:row>
      <xdr:rowOff>88900</xdr:rowOff>
    </xdr:to>
    <xdr:sp macro="" textlink="$A$54">
      <xdr:nvSpPr>
        <xdr:cNvPr id="30782" name="Rectangle 62"/>
        <xdr:cNvSpPr>
          <a:spLocks noChangeArrowheads="1" noTextEdit="1"/>
        </xdr:cNvSpPr>
      </xdr:nvSpPr>
      <xdr:spPr bwMode="auto">
        <a:xfrm>
          <a:off x="5549900" y="8496300"/>
          <a:ext cx="3111500" cy="39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CCB5686A-820A-B84A-819F-9043C37E7101}" type="TxLink">
            <a:rPr lang="fr-FR" sz="1000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pPr algn="l" rtl="0">
              <a:defRPr sz="1000"/>
            </a:pPr>
            <a:t>OK</a:t>
          </a:fld>
          <a:endParaRPr lang="fr-FR" sz="1000" b="0" i="0" u="none" strike="noStrike" baseline="0">
            <a:solidFill>
              <a:srgbClr val="0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13</xdr:row>
      <xdr:rowOff>139700</xdr:rowOff>
    </xdr:from>
    <xdr:to>
      <xdr:col>14</xdr:col>
      <xdr:colOff>0</xdr:colOff>
      <xdr:row>14</xdr:row>
      <xdr:rowOff>0</xdr:rowOff>
    </xdr:to>
    <xdr:sp macro="" textlink="">
      <xdr:nvSpPr>
        <xdr:cNvPr id="30043" name="Line 2"/>
        <xdr:cNvSpPr>
          <a:spLocks noChangeShapeType="1"/>
        </xdr:cNvSpPr>
      </xdr:nvSpPr>
      <xdr:spPr bwMode="auto">
        <a:xfrm>
          <a:off x="3213100" y="2108200"/>
          <a:ext cx="7912100" cy="12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292100</xdr:colOff>
      <xdr:row>12</xdr:row>
      <xdr:rowOff>50800</xdr:rowOff>
    </xdr:from>
    <xdr:to>
      <xdr:col>12</xdr:col>
      <xdr:colOff>622300</xdr:colOff>
      <xdr:row>15</xdr:row>
      <xdr:rowOff>50800</xdr:rowOff>
    </xdr:to>
    <xdr:sp macro="" textlink="">
      <xdr:nvSpPr>
        <xdr:cNvPr id="30044" name="AutoShape 3"/>
        <xdr:cNvSpPr>
          <a:spLocks noChangeArrowheads="1"/>
        </xdr:cNvSpPr>
      </xdr:nvSpPr>
      <xdr:spPr bwMode="auto">
        <a:xfrm>
          <a:off x="8978900" y="1866900"/>
          <a:ext cx="1219200" cy="4572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723900</xdr:colOff>
      <xdr:row>12</xdr:row>
      <xdr:rowOff>127000</xdr:rowOff>
    </xdr:from>
    <xdr:to>
      <xdr:col>6</xdr:col>
      <xdr:colOff>228600</xdr:colOff>
      <xdr:row>15</xdr:row>
      <xdr:rowOff>0</xdr:rowOff>
    </xdr:to>
    <xdr:sp macro="" textlink="">
      <xdr:nvSpPr>
        <xdr:cNvPr id="30045" name="AutoShape 4"/>
        <xdr:cNvSpPr>
          <a:spLocks noChangeArrowheads="1"/>
        </xdr:cNvSpPr>
      </xdr:nvSpPr>
      <xdr:spPr bwMode="auto">
        <a:xfrm>
          <a:off x="4508500" y="1943100"/>
          <a:ext cx="279400" cy="330200"/>
        </a:xfrm>
        <a:prstGeom prst="flowChartMagneticDrum">
          <a:avLst/>
        </a:prstGeom>
        <a:solidFill>
          <a:srgbClr xmlns:mc="http://schemas.openxmlformats.org/markup-compatibility/2006" xmlns:a14="http://schemas.microsoft.com/office/drawing/2010/main" val="9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355600</xdr:colOff>
      <xdr:row>11</xdr:row>
      <xdr:rowOff>38100</xdr:rowOff>
    </xdr:from>
    <xdr:to>
      <xdr:col>10</xdr:col>
      <xdr:colOff>355600</xdr:colOff>
      <xdr:row>13</xdr:row>
      <xdr:rowOff>0</xdr:rowOff>
    </xdr:to>
    <xdr:sp macro="" textlink="">
      <xdr:nvSpPr>
        <xdr:cNvPr id="30046" name="Line 10"/>
        <xdr:cNvSpPr>
          <a:spLocks noChangeShapeType="1"/>
        </xdr:cNvSpPr>
      </xdr:nvSpPr>
      <xdr:spPr bwMode="auto">
        <a:xfrm flipV="1">
          <a:off x="8153400" y="1701800"/>
          <a:ext cx="0" cy="266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342900</xdr:colOff>
      <xdr:row>11</xdr:row>
      <xdr:rowOff>0</xdr:rowOff>
    </xdr:from>
    <xdr:to>
      <xdr:col>13</xdr:col>
      <xdr:colOff>749300</xdr:colOff>
      <xdr:row>11</xdr:row>
      <xdr:rowOff>25400</xdr:rowOff>
    </xdr:to>
    <xdr:sp macro="" textlink="">
      <xdr:nvSpPr>
        <xdr:cNvPr id="30047" name="Line 11"/>
        <xdr:cNvSpPr>
          <a:spLocks noChangeShapeType="1"/>
        </xdr:cNvSpPr>
      </xdr:nvSpPr>
      <xdr:spPr bwMode="auto">
        <a:xfrm flipV="1">
          <a:off x="8140700" y="1663700"/>
          <a:ext cx="2959100" cy="254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762000</xdr:colOff>
      <xdr:row>12</xdr:row>
      <xdr:rowOff>50800</xdr:rowOff>
    </xdr:from>
    <xdr:to>
      <xdr:col>10</xdr:col>
      <xdr:colOff>711200</xdr:colOff>
      <xdr:row>14</xdr:row>
      <xdr:rowOff>127000</xdr:rowOff>
    </xdr:to>
    <xdr:sp macro="" textlink="">
      <xdr:nvSpPr>
        <xdr:cNvPr id="30048" name="AutoShape 22"/>
        <xdr:cNvSpPr>
          <a:spLocks noChangeArrowheads="1"/>
        </xdr:cNvSpPr>
      </xdr:nvSpPr>
      <xdr:spPr bwMode="auto">
        <a:xfrm flipH="1">
          <a:off x="7785100" y="1866900"/>
          <a:ext cx="723900" cy="381000"/>
        </a:xfrm>
        <a:prstGeom prst="flowChartManualInput">
          <a:avLst/>
        </a:prstGeom>
        <a:solidFill>
          <a:srgbClr xmlns:mc="http://schemas.openxmlformats.org/markup-compatibility/2006" xmlns:a14="http://schemas.microsoft.com/office/drawing/2010/main" val="00009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381000</xdr:colOff>
      <xdr:row>8</xdr:row>
      <xdr:rowOff>0</xdr:rowOff>
    </xdr:from>
    <xdr:to>
      <xdr:col>8</xdr:col>
      <xdr:colOff>660400</xdr:colOff>
      <xdr:row>17</xdr:row>
      <xdr:rowOff>50800</xdr:rowOff>
    </xdr:to>
    <xdr:sp macro="" textlink="">
      <xdr:nvSpPr>
        <xdr:cNvPr id="30049" name="AutoShape 33"/>
        <xdr:cNvSpPr>
          <a:spLocks noChangeArrowheads="1"/>
        </xdr:cNvSpPr>
      </xdr:nvSpPr>
      <xdr:spPr bwMode="auto">
        <a:xfrm>
          <a:off x="4940300" y="1206500"/>
          <a:ext cx="1993900" cy="14224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90713A" mc:Ignorable="a14" a14:legacySpreadsheetColorIndex="1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165100</xdr:colOff>
      <xdr:row>12</xdr:row>
      <xdr:rowOff>88900</xdr:rowOff>
    </xdr:from>
    <xdr:to>
      <xdr:col>4</xdr:col>
      <xdr:colOff>165100</xdr:colOff>
      <xdr:row>14</xdr:row>
      <xdr:rowOff>12700</xdr:rowOff>
    </xdr:to>
    <xdr:sp macro="" textlink="">
      <xdr:nvSpPr>
        <xdr:cNvPr id="30050" name="Line 40"/>
        <xdr:cNvSpPr>
          <a:spLocks noChangeShapeType="1"/>
        </xdr:cNvSpPr>
      </xdr:nvSpPr>
      <xdr:spPr bwMode="auto">
        <a:xfrm flipV="1">
          <a:off x="3200400" y="1905000"/>
          <a:ext cx="0" cy="2286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5</xdr:col>
      <xdr:colOff>304800</xdr:colOff>
      <xdr:row>13</xdr:row>
      <xdr:rowOff>114300</xdr:rowOff>
    </xdr:to>
    <xdr:sp macro="" textlink="">
      <xdr:nvSpPr>
        <xdr:cNvPr id="30051" name="Line 43"/>
        <xdr:cNvSpPr>
          <a:spLocks noChangeShapeType="1"/>
        </xdr:cNvSpPr>
      </xdr:nvSpPr>
      <xdr:spPr bwMode="auto">
        <a:xfrm flipV="1">
          <a:off x="4089400" y="1968500"/>
          <a:ext cx="0" cy="1143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3</xdr:col>
      <xdr:colOff>1130300</xdr:colOff>
      <xdr:row>10</xdr:row>
      <xdr:rowOff>12700</xdr:rowOff>
    </xdr:from>
    <xdr:to>
      <xdr:col>4</xdr:col>
      <xdr:colOff>571500</xdr:colOff>
      <xdr:row>12</xdr:row>
      <xdr:rowOff>101600</xdr:rowOff>
    </xdr:to>
    <xdr:sp macro="" textlink="">
      <xdr:nvSpPr>
        <xdr:cNvPr id="30052" name="AutoShape 47"/>
        <xdr:cNvSpPr>
          <a:spLocks noChangeArrowheads="1"/>
        </xdr:cNvSpPr>
      </xdr:nvSpPr>
      <xdr:spPr bwMode="auto">
        <a:xfrm>
          <a:off x="3009900" y="1524000"/>
          <a:ext cx="596900" cy="393700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008080" mc:Ignorable="a14" a14:legacySpreadsheetColorIndex="2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101600</xdr:colOff>
      <xdr:row>9</xdr:row>
      <xdr:rowOff>139700</xdr:rowOff>
    </xdr:from>
    <xdr:to>
      <xdr:col>5</xdr:col>
      <xdr:colOff>546100</xdr:colOff>
      <xdr:row>13</xdr:row>
      <xdr:rowOff>0</xdr:rowOff>
    </xdr:to>
    <xdr:sp macro="" textlink="">
      <xdr:nvSpPr>
        <xdr:cNvPr id="30053" name="AutoShape 51"/>
        <xdr:cNvSpPr>
          <a:spLocks noChangeArrowheads="1"/>
        </xdr:cNvSpPr>
      </xdr:nvSpPr>
      <xdr:spPr bwMode="auto">
        <a:xfrm>
          <a:off x="3886200" y="1498600"/>
          <a:ext cx="444500" cy="469900"/>
        </a:xfrm>
        <a:prstGeom prst="cube">
          <a:avLst>
            <a:gd name="adj" fmla="val 24139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14</xdr:row>
      <xdr:rowOff>25400</xdr:rowOff>
    </xdr:from>
    <xdr:to>
      <xdr:col>11</xdr:col>
      <xdr:colOff>12700</xdr:colOff>
      <xdr:row>16</xdr:row>
      <xdr:rowOff>76200</xdr:rowOff>
    </xdr:to>
    <xdr:sp macro="" textlink="">
      <xdr:nvSpPr>
        <xdr:cNvPr id="30054" name="Line 54"/>
        <xdr:cNvSpPr>
          <a:spLocks noChangeShapeType="1"/>
        </xdr:cNvSpPr>
      </xdr:nvSpPr>
      <xdr:spPr bwMode="auto">
        <a:xfrm flipH="1" flipV="1">
          <a:off x="8686800" y="2146300"/>
          <a:ext cx="12700" cy="3556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584200</xdr:colOff>
      <xdr:row>16</xdr:row>
      <xdr:rowOff>38100</xdr:rowOff>
    </xdr:from>
    <xdr:to>
      <xdr:col>11</xdr:col>
      <xdr:colOff>0</xdr:colOff>
      <xdr:row>16</xdr:row>
      <xdr:rowOff>50800</xdr:rowOff>
    </xdr:to>
    <xdr:sp macro="" textlink="">
      <xdr:nvSpPr>
        <xdr:cNvPr id="30055" name="Line 55"/>
        <xdr:cNvSpPr>
          <a:spLocks noChangeShapeType="1"/>
        </xdr:cNvSpPr>
      </xdr:nvSpPr>
      <xdr:spPr bwMode="auto">
        <a:xfrm flipH="1" flipV="1">
          <a:off x="6858000" y="2463800"/>
          <a:ext cx="1828800" cy="1270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698500</xdr:colOff>
      <xdr:row>31</xdr:row>
      <xdr:rowOff>50800</xdr:rowOff>
    </xdr:from>
    <xdr:to>
      <xdr:col>10</xdr:col>
      <xdr:colOff>647700</xdr:colOff>
      <xdr:row>36</xdr:row>
      <xdr:rowOff>127000</xdr:rowOff>
    </xdr:to>
    <xdr:sp macro="" textlink="">
      <xdr:nvSpPr>
        <xdr:cNvPr id="29960" name="Rectangle 264"/>
        <xdr:cNvSpPr>
          <a:spLocks noChangeArrowheads="1"/>
        </xdr:cNvSpPr>
      </xdr:nvSpPr>
      <xdr:spPr bwMode="auto">
        <a:xfrm>
          <a:off x="5257800" y="4851400"/>
          <a:ext cx="318770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Paramètres à renseigner</a:t>
          </a:r>
          <a:endParaRPr lang="fr-FR" sz="900" b="0" i="0" u="none" strike="noStrike" baseline="0">
            <a:solidFill>
              <a:srgbClr val="0000D4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durée de stockage nécessaire</a:t>
          </a:r>
          <a:r>
            <a:rPr lang="fr-FR" sz="900" b="1" i="0" u="none" strike="noStrike" baseline="0">
              <a:solidFill>
                <a:srgbClr val="0000D4"/>
              </a:solidFill>
              <a:latin typeface="Helvetica"/>
              <a:ea typeface="Helvetica"/>
              <a:cs typeface="Helvetica"/>
            </a:rPr>
            <a:t> (6 mois option par défaut)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D4"/>
              </a:solidFill>
              <a:latin typeface="Helvetica"/>
              <a:ea typeface="Helvetica"/>
              <a:cs typeface="Helvetica"/>
            </a:rPr>
            <a:t>-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séparation de phase : 1 (oui) ou 0 (non)</a:t>
          </a:r>
        </a:p>
        <a:p>
          <a:pPr algn="l" rtl="0">
            <a:defRPr sz="1000"/>
          </a:pPr>
          <a:endParaRPr lang="fr-FR" sz="900" b="1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</xdr:txBody>
    </xdr:sp>
    <xdr:clientData/>
  </xdr:twoCellAnchor>
  <xdr:twoCellAnchor>
    <xdr:from>
      <xdr:col>0</xdr:col>
      <xdr:colOff>241300</xdr:colOff>
      <xdr:row>15</xdr:row>
      <xdr:rowOff>38100</xdr:rowOff>
    </xdr:from>
    <xdr:to>
      <xdr:col>4</xdr:col>
      <xdr:colOff>63500</xdr:colOff>
      <xdr:row>25</xdr:row>
      <xdr:rowOff>38100</xdr:rowOff>
    </xdr:to>
    <xdr:sp macro="" textlink="">
      <xdr:nvSpPr>
        <xdr:cNvPr id="29963" name="Rectangle 267"/>
        <xdr:cNvSpPr>
          <a:spLocks noChangeArrowheads="1"/>
        </xdr:cNvSpPr>
      </xdr:nvSpPr>
      <xdr:spPr bwMode="auto">
        <a:xfrm>
          <a:off x="228600" y="2311400"/>
          <a:ext cx="2870200" cy="156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Domaine de validité</a:t>
          </a: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Le modèle fonctionne pour un mélange ("substrat brut") dont la teneur en matières sèches est inférieure à 25% (et supérieure à 5%).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Il n'est pas adapté à des solides comme des fumiers très pailleurx  (caprin ou équiin) seuls.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35947" name="Text Box 1"/>
        <xdr:cNvSpPr txBox="1">
          <a:spLocks noChangeArrowheads="1"/>
        </xdr:cNvSpPr>
      </xdr:nvSpPr>
      <xdr:spPr bwMode="auto">
        <a:xfrm>
          <a:off x="7696200" y="4191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3594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0</xdr:rowOff>
    </xdr:from>
    <xdr:to>
      <xdr:col>12</xdr:col>
      <xdr:colOff>241300</xdr:colOff>
      <xdr:row>24</xdr:row>
      <xdr:rowOff>101600</xdr:rowOff>
    </xdr:to>
    <xdr:sp macro="" textlink="">
      <xdr:nvSpPr>
        <xdr:cNvPr id="35911" name="Rectangle 71"/>
        <xdr:cNvSpPr>
          <a:spLocks noChangeArrowheads="1"/>
        </xdr:cNvSpPr>
      </xdr:nvSpPr>
      <xdr:spPr bwMode="auto">
        <a:xfrm>
          <a:off x="8483600" y="2921000"/>
          <a:ext cx="4432300" cy="927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Paramètres à renseigner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consommation pour le chauffage de bâtiments, des usages réguliers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(indiquer les consommations annuelles)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et d'autres usages : entrer la quantité de chaleur effectivement valorisable en tenant compte de la saisonnalité dans la mesure du possible</a:t>
          </a:r>
        </a:p>
        <a:p>
          <a:pPr algn="l" rtl="0">
            <a:defRPr sz="1000"/>
          </a:pPr>
          <a:endParaRPr lang="fr-FR" sz="900" b="1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</xdr:txBody>
    </xdr:sp>
    <xdr:clientData/>
  </xdr:twoCellAnchor>
  <xdr:twoCellAnchor>
    <xdr:from>
      <xdr:col>7</xdr:col>
      <xdr:colOff>25400</xdr:colOff>
      <xdr:row>42</xdr:row>
      <xdr:rowOff>25400</xdr:rowOff>
    </xdr:from>
    <xdr:to>
      <xdr:col>12</xdr:col>
      <xdr:colOff>127000</xdr:colOff>
      <xdr:row>47</xdr:row>
      <xdr:rowOff>152400</xdr:rowOff>
    </xdr:to>
    <xdr:sp macro="" textlink="">
      <xdr:nvSpPr>
        <xdr:cNvPr id="35916" name="Rectangle 76"/>
        <xdr:cNvSpPr>
          <a:spLocks noChangeArrowheads="1"/>
        </xdr:cNvSpPr>
      </xdr:nvSpPr>
      <xdr:spPr bwMode="auto">
        <a:xfrm>
          <a:off x="8394700" y="6858000"/>
          <a:ext cx="4406900" cy="889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Domaine de validité</a:t>
          </a: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900000"/>
              </a:solidFill>
              <a:latin typeface="Helvetica"/>
              <a:ea typeface="Helvetica"/>
              <a:cs typeface="Helvetica"/>
            </a:rPr>
            <a:t>Le modèle fonctionne dans une plage comprise entre 30 et 300 kW électriques. En deça et au delà, les résultats ne sont pas fiables.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9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14</xdr:row>
      <xdr:rowOff>165100</xdr:rowOff>
    </xdr:from>
    <xdr:to>
      <xdr:col>14</xdr:col>
      <xdr:colOff>0</xdr:colOff>
      <xdr:row>27</xdr:row>
      <xdr:rowOff>88900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067800" y="2527300"/>
          <a:ext cx="2667000" cy="2082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0" i="0" u="sng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Valeurs à renseigner</a:t>
          </a:r>
          <a:endParaRPr lang="fr-FR" sz="900" b="0" i="0" u="none" strike="noStrike" baseline="0">
            <a:solidFill>
              <a:srgbClr val="DD0806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longueurs canalisations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gaz ou chaleur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système d'épandage liquide si nécessaire (exploitations avec fumier seul) : tonne à lisier, épandeur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- surfaces des </a:t>
          </a:r>
          <a:r>
            <a:rPr lang="fr-FR" sz="900" b="1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cultures énergétiques</a:t>
          </a:r>
          <a:r>
            <a:rPr lang="fr-FR" sz="900" b="0" i="0" u="none" strike="noStrike" baseline="0">
              <a:solidFill>
                <a:srgbClr val="DD0806"/>
              </a:solidFill>
              <a:latin typeface="Helvetica"/>
              <a:ea typeface="Helvetica"/>
              <a:cs typeface="Helvetica"/>
            </a:rPr>
            <a:t> et coût par ha ; !!! Vérifier cohérence avec les tonnages en feuille GISEMENT</a:t>
          </a:r>
        </a:p>
      </xdr:txBody>
    </xdr:sp>
    <xdr:clientData/>
  </xdr:twoCellAnchor>
  <xdr:twoCellAnchor>
    <xdr:from>
      <xdr:col>10</xdr:col>
      <xdr:colOff>482600</xdr:colOff>
      <xdr:row>29</xdr:row>
      <xdr:rowOff>38100</xdr:rowOff>
    </xdr:from>
    <xdr:to>
      <xdr:col>13</xdr:col>
      <xdr:colOff>101600</xdr:colOff>
      <xdr:row>45</xdr:row>
      <xdr:rowOff>139700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9220200" y="4914900"/>
          <a:ext cx="1879600" cy="2781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0" i="0" u="sng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Valeurs par défaut</a:t>
          </a:r>
          <a:endParaRPr lang="fr-FR" sz="900" b="0" i="0" u="none" strike="noStrike" baseline="0">
            <a:solidFill>
              <a:srgbClr val="000090"/>
            </a:solidFill>
            <a:latin typeface="Helvetica"/>
            <a:ea typeface="Helvetica"/>
            <a:cs typeface="Helvetica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coût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raccordement réseau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électrique : 10 k€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subventions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0 %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taux d'emprunt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5%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durée remboursement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15 ans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- </a:t>
          </a:r>
          <a:r>
            <a:rPr lang="fr-FR" sz="900" b="1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prix unitaires</a:t>
          </a:r>
          <a:r>
            <a:rPr lang="fr-FR" sz="900" b="0" i="0" u="none" strike="noStrike" baseline="0">
              <a:solidFill>
                <a:srgbClr val="000090"/>
              </a:solidFill>
              <a:latin typeface="Helvetica"/>
              <a:ea typeface="Helvetica"/>
              <a:cs typeface="Helvetica"/>
            </a:rPr>
            <a:t> : main d'oeuvre, électricité, fioul, maintenance cogénérateur, prix du combustible substitué</a:t>
          </a:r>
        </a:p>
      </xdr:txBody>
    </xdr:sp>
    <xdr:clientData/>
  </xdr:twoCellAnchor>
  <xdr:twoCellAnchor>
    <xdr:from>
      <xdr:col>10</xdr:col>
      <xdr:colOff>76200</xdr:colOff>
      <xdr:row>58</xdr:row>
      <xdr:rowOff>38100</xdr:rowOff>
    </xdr:from>
    <xdr:to>
      <xdr:col>11</xdr:col>
      <xdr:colOff>241300</xdr:colOff>
      <xdr:row>58</xdr:row>
      <xdr:rowOff>76200</xdr:rowOff>
    </xdr:to>
    <xdr:sp macro="" textlink="">
      <xdr:nvSpPr>
        <xdr:cNvPr id="4" name="Line -1021"/>
        <xdr:cNvSpPr>
          <a:spLocks noChangeShapeType="1"/>
        </xdr:cNvSpPr>
      </xdr:nvSpPr>
      <xdr:spPr bwMode="auto">
        <a:xfrm flipH="1">
          <a:off x="8813800" y="8445500"/>
          <a:ext cx="7747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10</xdr:row>
      <xdr:rowOff>76200</xdr:rowOff>
    </xdr:from>
    <xdr:to>
      <xdr:col>10</xdr:col>
      <xdr:colOff>254000</xdr:colOff>
      <xdr:row>10</xdr:row>
      <xdr:rowOff>88900</xdr:rowOff>
    </xdr:to>
    <xdr:sp macro="" textlink="">
      <xdr:nvSpPr>
        <xdr:cNvPr id="5" name="Line -1020"/>
        <xdr:cNvSpPr>
          <a:spLocks noChangeShapeType="1"/>
        </xdr:cNvSpPr>
      </xdr:nvSpPr>
      <xdr:spPr bwMode="auto">
        <a:xfrm flipH="1" flipV="1">
          <a:off x="7912100" y="1574800"/>
          <a:ext cx="10795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0</xdr:colOff>
      <xdr:row>8</xdr:row>
      <xdr:rowOff>101600</xdr:rowOff>
    </xdr:from>
    <xdr:to>
      <xdr:col>11</xdr:col>
      <xdr:colOff>596900</xdr:colOff>
      <xdr:row>11</xdr:row>
      <xdr:rowOff>50800</xdr:rowOff>
    </xdr:to>
    <xdr:sp macro="" textlink="$E11">
      <xdr:nvSpPr>
        <xdr:cNvPr id="6" name="Rectangle -1019"/>
        <xdr:cNvSpPr>
          <a:spLocks noChangeArrowheads="1" noTextEdit="1"/>
        </xdr:cNvSpPr>
      </xdr:nvSpPr>
      <xdr:spPr bwMode="auto">
        <a:xfrm>
          <a:off x="8737600" y="1244600"/>
          <a:ext cx="1206500" cy="48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26C38D0A-6871-F94A-ADF5-BD60A103DA82}" type="TxLink">
            <a:rPr lang="fr-FR"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pPr algn="l" rtl="0">
              <a:defRPr sz="1000"/>
            </a:pPr>
            <a:t>OK</a:t>
          </a:fld>
          <a:endParaRPr lang="fr-FR" sz="9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10</xdr:col>
      <xdr:colOff>558800</xdr:colOff>
      <xdr:row>51</xdr:row>
      <xdr:rowOff>25400</xdr:rowOff>
    </xdr:from>
    <xdr:to>
      <xdr:col>13</xdr:col>
      <xdr:colOff>114300</xdr:colOff>
      <xdr:row>60</xdr:row>
      <xdr:rowOff>88900</xdr:rowOff>
    </xdr:to>
    <xdr:sp macro="" textlink="$B$63">
      <xdr:nvSpPr>
        <xdr:cNvPr id="7" name="Rectangle -1018"/>
        <xdr:cNvSpPr>
          <a:spLocks noChangeArrowheads="1" noTextEdit="1"/>
        </xdr:cNvSpPr>
      </xdr:nvSpPr>
      <xdr:spPr bwMode="auto">
        <a:xfrm>
          <a:off x="9296400" y="8521700"/>
          <a:ext cx="1816100" cy="146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fld id="{D18AFD4D-2D80-AE4E-ADB7-064A175B14FB}" type="TxLink">
            <a:rPr lang="fr-FR" sz="900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pPr algn="l" rtl="0">
              <a:defRPr sz="1000"/>
            </a:pPr>
            <a:t>Recherchez des optimisations et compléments pour rendre le projet viable : TAILLE, REDEVANCE COSUBSTRATS, DEBOUCHES THERMIQUES</a:t>
          </a:fld>
          <a:endParaRPr lang="fr-FR" sz="900" b="1" i="0" u="none" strike="noStrike" baseline="0">
            <a:solidFill>
              <a:srgbClr val="000000"/>
            </a:solidFill>
            <a:latin typeface="Helvetica"/>
            <a:ea typeface="Helvetica"/>
            <a:cs typeface="Helvetic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zDeFerme_Grd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DEmploi"/>
      <sheetName val="Gisement"/>
      <sheetName val="Matiere"/>
      <sheetName val="Energie"/>
      <sheetName val="Economie"/>
      <sheetName val="Synthese"/>
    </sheetNames>
    <sheetDataSet>
      <sheetData sheetId="0" refreshError="1"/>
      <sheetData sheetId="1" refreshError="1">
        <row r="46">
          <cell r="C46">
            <v>6000</v>
          </cell>
          <cell r="M46">
            <v>0</v>
          </cell>
        </row>
        <row r="49">
          <cell r="C49">
            <v>0</v>
          </cell>
        </row>
        <row r="51">
          <cell r="D51">
            <v>16.438356164383563</v>
          </cell>
        </row>
        <row r="52">
          <cell r="D52">
            <v>78.400000000000006</v>
          </cell>
        </row>
      </sheetData>
      <sheetData sheetId="2" refreshError="1">
        <row r="4">
          <cell r="J4">
            <v>5424</v>
          </cell>
        </row>
        <row r="23">
          <cell r="N23">
            <v>1</v>
          </cell>
        </row>
        <row r="27">
          <cell r="H27">
            <v>1452.0000000000002</v>
          </cell>
        </row>
        <row r="29">
          <cell r="O29">
            <v>1780</v>
          </cell>
        </row>
      </sheetData>
      <sheetData sheetId="3" refreshError="1">
        <row r="7">
          <cell r="E7">
            <v>0</v>
          </cell>
        </row>
        <row r="10">
          <cell r="E10">
            <v>216.64456367952138</v>
          </cell>
        </row>
        <row r="11">
          <cell r="E11">
            <v>1650.266415506615</v>
          </cell>
        </row>
        <row r="32">
          <cell r="E32">
            <v>0</v>
          </cell>
        </row>
        <row r="33">
          <cell r="E33">
            <v>0.40445812402063425</v>
          </cell>
        </row>
        <row r="41">
          <cell r="E41">
            <v>133.60603682564448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5"/>
  <sheetViews>
    <sheetView showGridLines="0" showRuler="0" workbookViewId="0">
      <selection activeCell="J70" sqref="J70"/>
    </sheetView>
  </sheetViews>
  <sheetFormatPr baseColWidth="10" defaultColWidth="11" defaultRowHeight="13" x14ac:dyDescent="0"/>
  <cols>
    <col min="1" max="1" width="6.1640625" style="120" customWidth="1"/>
    <col min="2" max="2" width="4.83203125" style="121" bestFit="1" customWidth="1"/>
    <col min="3" max="3" width="11" style="126"/>
    <col min="4" max="4" width="40.6640625" style="122" bestFit="1" customWidth="1"/>
    <col min="5" max="16" width="11" style="1"/>
    <col min="17" max="16384" width="11" style="120"/>
  </cols>
  <sheetData>
    <row r="3" spans="1:20" ht="30" customHeight="1">
      <c r="A3" s="118"/>
      <c r="B3" s="119">
        <v>1</v>
      </c>
      <c r="C3" s="125" t="s">
        <v>29</v>
      </c>
      <c r="D3" s="123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18"/>
      <c r="R3" s="118"/>
      <c r="S3" s="118"/>
      <c r="T3" s="118"/>
    </row>
    <row r="4" spans="1:20">
      <c r="D4" s="124"/>
    </row>
    <row r="5" spans="1:20">
      <c r="D5" s="124" t="s">
        <v>110</v>
      </c>
    </row>
    <row r="6" spans="1:20">
      <c r="B6" s="122"/>
      <c r="C6" s="127"/>
      <c r="D6" s="124"/>
      <c r="E6" s="1" t="s">
        <v>189</v>
      </c>
    </row>
    <row r="7" spans="1:20">
      <c r="D7" s="124"/>
      <c r="E7" s="1" t="s">
        <v>232</v>
      </c>
    </row>
    <row r="8" spans="1:20">
      <c r="D8" s="124"/>
      <c r="E8" s="1" t="s">
        <v>97</v>
      </c>
    </row>
    <row r="9" spans="1:20">
      <c r="D9" s="124"/>
      <c r="E9" s="1" t="s">
        <v>84</v>
      </c>
    </row>
    <row r="10" spans="1:20">
      <c r="D10" s="124"/>
      <c r="E10" s="1" t="s">
        <v>199</v>
      </c>
    </row>
    <row r="11" spans="1:20">
      <c r="D11" s="124"/>
    </row>
    <row r="12" spans="1:20">
      <c r="D12" s="124" t="s">
        <v>140</v>
      </c>
    </row>
    <row r="13" spans="1:20">
      <c r="D13" s="124"/>
      <c r="E13" s="1" t="s">
        <v>111</v>
      </c>
    </row>
    <row r="14" spans="1:20">
      <c r="D14" s="124"/>
      <c r="E14" s="1" t="s">
        <v>138</v>
      </c>
    </row>
    <row r="15" spans="1:20">
      <c r="D15" s="124"/>
      <c r="E15" s="1" t="s">
        <v>139</v>
      </c>
    </row>
    <row r="16" spans="1:20">
      <c r="D16" s="124"/>
    </row>
    <row r="17" spans="1:20">
      <c r="D17" s="124" t="s">
        <v>74</v>
      </c>
    </row>
    <row r="18" spans="1:20">
      <c r="D18" s="124"/>
      <c r="E18" s="1" t="s">
        <v>0</v>
      </c>
    </row>
    <row r="19" spans="1:20">
      <c r="D19" s="124"/>
      <c r="E19" s="1" t="s">
        <v>1</v>
      </c>
    </row>
    <row r="20" spans="1:20">
      <c r="D20" s="124"/>
      <c r="E20" s="1" t="s">
        <v>119</v>
      </c>
    </row>
    <row r="21" spans="1:20">
      <c r="D21" s="124"/>
    </row>
    <row r="22" spans="1:20" ht="30.75" customHeight="1">
      <c r="A22" s="118"/>
      <c r="B22" s="119">
        <v>2</v>
      </c>
      <c r="C22" s="125" t="s">
        <v>30</v>
      </c>
      <c r="D22" s="12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18"/>
      <c r="R22" s="118"/>
      <c r="S22" s="118"/>
      <c r="T22" s="118"/>
    </row>
    <row r="23" spans="1:20">
      <c r="D23" s="124"/>
    </row>
    <row r="24" spans="1:20">
      <c r="D24" s="124" t="s">
        <v>120</v>
      </c>
    </row>
    <row r="25" spans="1:20">
      <c r="D25" s="124"/>
      <c r="E25" s="1" t="s">
        <v>92</v>
      </c>
    </row>
    <row r="26" spans="1:20">
      <c r="D26" s="124"/>
    </row>
    <row r="27" spans="1:20">
      <c r="D27" s="124" t="s">
        <v>48</v>
      </c>
    </row>
    <row r="28" spans="1:20">
      <c r="D28" s="124"/>
      <c r="E28" s="1" t="s">
        <v>49</v>
      </c>
    </row>
    <row r="29" spans="1:20">
      <c r="D29" s="124"/>
    </row>
    <row r="30" spans="1:20">
      <c r="D30" s="124"/>
    </row>
    <row r="31" spans="1:20" ht="29" customHeight="1">
      <c r="A31" s="118"/>
      <c r="B31" s="119">
        <v>3</v>
      </c>
      <c r="C31" s="125" t="s">
        <v>31</v>
      </c>
      <c r="D31" s="12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18"/>
      <c r="R31" s="118"/>
      <c r="S31" s="118"/>
      <c r="T31" s="118"/>
    </row>
    <row r="32" spans="1:20">
      <c r="D32" s="124"/>
    </row>
    <row r="33" spans="4:6">
      <c r="D33" s="124" t="s">
        <v>50</v>
      </c>
    </row>
    <row r="34" spans="4:6">
      <c r="D34" s="124"/>
      <c r="E34" s="1" t="s">
        <v>162</v>
      </c>
    </row>
    <row r="35" spans="4:6">
      <c r="D35" s="124"/>
    </row>
    <row r="36" spans="4:6">
      <c r="D36" s="124" t="s">
        <v>163</v>
      </c>
    </row>
    <row r="37" spans="4:6">
      <c r="D37" s="124"/>
      <c r="E37" s="1" t="s">
        <v>105</v>
      </c>
    </row>
    <row r="38" spans="4:6">
      <c r="D38" s="124"/>
      <c r="E38" s="1" t="s">
        <v>240</v>
      </c>
    </row>
    <row r="39" spans="4:6">
      <c r="D39" s="124"/>
      <c r="E39" s="1" t="s">
        <v>112</v>
      </c>
    </row>
    <row r="40" spans="4:6">
      <c r="D40" s="124"/>
      <c r="E40" s="1" t="s">
        <v>113</v>
      </c>
    </row>
    <row r="41" spans="4:6">
      <c r="D41" s="124"/>
    </row>
    <row r="42" spans="4:6">
      <c r="D42" s="124" t="s">
        <v>114</v>
      </c>
    </row>
    <row r="43" spans="4:6">
      <c r="D43" s="124"/>
      <c r="E43" s="1" t="s">
        <v>115</v>
      </c>
    </row>
    <row r="44" spans="4:6">
      <c r="D44" s="124"/>
      <c r="F44" s="1" t="s">
        <v>121</v>
      </c>
    </row>
    <row r="45" spans="4:6">
      <c r="D45" s="124"/>
      <c r="F45" s="1" t="s">
        <v>239</v>
      </c>
    </row>
    <row r="46" spans="4:6">
      <c r="D46" s="124"/>
      <c r="F46" s="1" t="s">
        <v>58</v>
      </c>
    </row>
    <row r="47" spans="4:6">
      <c r="D47" s="124"/>
    </row>
    <row r="48" spans="4:6">
      <c r="D48" s="124" t="s">
        <v>134</v>
      </c>
    </row>
    <row r="49" spans="1:20">
      <c r="D49" s="124"/>
      <c r="E49" s="1" t="s">
        <v>70</v>
      </c>
    </row>
    <row r="50" spans="1:20">
      <c r="D50" s="124"/>
      <c r="E50" s="1" t="s">
        <v>205</v>
      </c>
    </row>
    <row r="51" spans="1:20">
      <c r="D51" s="124"/>
      <c r="E51" s="1" t="s">
        <v>85</v>
      </c>
    </row>
    <row r="52" spans="1:20">
      <c r="D52" s="124"/>
      <c r="F52" s="1" t="s">
        <v>86</v>
      </c>
    </row>
    <row r="53" spans="1:20">
      <c r="D53" s="124"/>
      <c r="F53" s="1" t="s">
        <v>228</v>
      </c>
    </row>
    <row r="54" spans="1:20">
      <c r="D54" s="124"/>
      <c r="F54" s="1" t="s">
        <v>152</v>
      </c>
    </row>
    <row r="55" spans="1:20">
      <c r="D55" s="124"/>
      <c r="F55" s="1" t="s">
        <v>5</v>
      </c>
    </row>
    <row r="56" spans="1:20">
      <c r="D56" s="124"/>
    </row>
    <row r="57" spans="1:20">
      <c r="D57" s="124"/>
    </row>
    <row r="58" spans="1:20" ht="29" customHeight="1">
      <c r="A58" s="118"/>
      <c r="B58" s="119">
        <v>4</v>
      </c>
      <c r="C58" s="125" t="s">
        <v>32</v>
      </c>
      <c r="D58" s="12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18"/>
      <c r="R58" s="118"/>
      <c r="S58" s="118"/>
      <c r="T58" s="118"/>
    </row>
    <row r="59" spans="1:20">
      <c r="D59" s="124"/>
    </row>
    <row r="60" spans="1:20">
      <c r="D60" s="124" t="s">
        <v>202</v>
      </c>
    </row>
    <row r="61" spans="1:20">
      <c r="D61" s="124"/>
      <c r="E61" s="1" t="s">
        <v>6</v>
      </c>
    </row>
    <row r="62" spans="1:20">
      <c r="D62" s="124"/>
      <c r="E62" s="1" t="s">
        <v>200</v>
      </c>
    </row>
    <row r="63" spans="1:20">
      <c r="D63" s="124"/>
      <c r="F63" s="1" t="s">
        <v>87</v>
      </c>
    </row>
    <row r="64" spans="1:20">
      <c r="D64" s="124"/>
      <c r="F64" s="1" t="s">
        <v>88</v>
      </c>
    </row>
    <row r="65" spans="4:6">
      <c r="D65" s="124"/>
      <c r="F65" s="1" t="s">
        <v>226</v>
      </c>
    </row>
    <row r="66" spans="4:6">
      <c r="D66" s="124"/>
    </row>
    <row r="67" spans="4:6">
      <c r="D67" s="124"/>
      <c r="E67" s="1" t="s">
        <v>181</v>
      </c>
    </row>
    <row r="68" spans="4:6">
      <c r="D68" s="124"/>
      <c r="F68" s="1" t="s">
        <v>182</v>
      </c>
    </row>
    <row r="69" spans="4:6">
      <c r="D69" s="124"/>
      <c r="F69" s="1" t="s">
        <v>241</v>
      </c>
    </row>
    <row r="70" spans="4:6">
      <c r="D70" s="124"/>
      <c r="F70" s="1" t="s">
        <v>183</v>
      </c>
    </row>
    <row r="71" spans="4:6">
      <c r="D71" s="124"/>
      <c r="F71" s="1" t="s">
        <v>184</v>
      </c>
    </row>
    <row r="72" spans="4:6">
      <c r="D72" s="124"/>
    </row>
    <row r="73" spans="4:6">
      <c r="D73" s="124"/>
      <c r="E73" s="1" t="s">
        <v>242</v>
      </c>
    </row>
    <row r="74" spans="4:6">
      <c r="D74" s="124"/>
      <c r="F74" s="1" t="s">
        <v>75</v>
      </c>
    </row>
    <row r="75" spans="4:6">
      <c r="D75" s="124"/>
    </row>
    <row r="76" spans="4:6">
      <c r="D76" s="124" t="s">
        <v>165</v>
      </c>
    </row>
    <row r="77" spans="4:6">
      <c r="D77" s="124"/>
      <c r="E77" s="1" t="s">
        <v>76</v>
      </c>
    </row>
    <row r="78" spans="4:6">
      <c r="D78" s="124"/>
      <c r="E78" s="1" t="s">
        <v>71</v>
      </c>
    </row>
    <row r="79" spans="4:6">
      <c r="D79" s="124"/>
    </row>
    <row r="80" spans="4:6">
      <c r="D80" s="124" t="s">
        <v>134</v>
      </c>
    </row>
    <row r="81" spans="4:5">
      <c r="D81" s="124"/>
      <c r="E81" s="1" t="s">
        <v>188</v>
      </c>
    </row>
    <row r="82" spans="4:5">
      <c r="D82" s="124"/>
    </row>
    <row r="83" spans="4:5">
      <c r="D83" s="124"/>
    </row>
    <row r="84" spans="4:5">
      <c r="D84" s="124"/>
    </row>
    <row r="85" spans="4:5">
      <c r="D85" s="124"/>
    </row>
  </sheetData>
  <sheetProtection password="CC26" sheet="1" objects="1" scenarios="1"/>
  <phoneticPr fontId="6" type="noConversion"/>
  <pageMargins left="0.75" right="0.75" top="1" bottom="1" header="0.4921259845" footer="0.492125984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GridLines="0" showRuler="0" topLeftCell="A19" workbookViewId="0">
      <selection activeCell="C29" sqref="C29"/>
    </sheetView>
  </sheetViews>
  <sheetFormatPr baseColWidth="10" defaultRowHeight="12" x14ac:dyDescent="0"/>
  <cols>
    <col min="1" max="1" width="1.83203125" customWidth="1"/>
    <col min="2" max="2" width="30" bestFit="1" customWidth="1"/>
    <col min="5" max="5" width="9.6640625" customWidth="1"/>
    <col min="6" max="6" width="12.33203125" customWidth="1"/>
    <col min="7" max="7" width="16.6640625" customWidth="1"/>
    <col min="8" max="8" width="4.33203125" customWidth="1"/>
    <col min="9" max="9" width="13.6640625" style="1" customWidth="1"/>
    <col min="10" max="10" width="12.33203125" style="1" customWidth="1"/>
    <col min="11" max="11" width="4.33203125" customWidth="1"/>
    <col min="12" max="13" width="14.33203125" customWidth="1"/>
    <col min="14" max="14" width="4.33203125" customWidth="1"/>
    <col min="15" max="15" width="8.83203125" customWidth="1"/>
  </cols>
  <sheetData>
    <row r="1" spans="1:15" s="142" customFormat="1">
      <c r="A1" s="139"/>
      <c r="B1" s="139"/>
      <c r="C1" s="140"/>
      <c r="D1" s="140"/>
      <c r="E1" s="139"/>
      <c r="F1" s="139"/>
      <c r="G1" s="139"/>
      <c r="H1" s="139"/>
      <c r="I1" s="46"/>
      <c r="J1" s="46"/>
      <c r="K1" s="139"/>
      <c r="L1" s="141"/>
      <c r="M1" s="139"/>
      <c r="N1" s="139"/>
      <c r="O1" s="139"/>
    </row>
    <row r="2" spans="1:15" ht="19">
      <c r="A2" s="25"/>
      <c r="B2" s="25"/>
      <c r="C2" s="58"/>
      <c r="D2" s="7" t="s">
        <v>187</v>
      </c>
      <c r="E2" s="7"/>
      <c r="F2" s="7"/>
      <c r="G2" s="7"/>
      <c r="H2" s="7"/>
      <c r="I2" s="115"/>
      <c r="J2" s="115"/>
      <c r="K2" s="7"/>
      <c r="L2" s="7"/>
      <c r="M2" s="7"/>
      <c r="N2" s="25"/>
      <c r="O2" s="25"/>
    </row>
    <row r="3" spans="1:15" s="10" customFormat="1" ht="48">
      <c r="A3" s="55"/>
      <c r="B3" s="55"/>
      <c r="C3" s="11" t="s">
        <v>211</v>
      </c>
      <c r="D3" s="12" t="s">
        <v>235</v>
      </c>
      <c r="E3" s="13" t="s">
        <v>223</v>
      </c>
      <c r="F3" s="13" t="s">
        <v>95</v>
      </c>
      <c r="G3" s="14" t="s">
        <v>206</v>
      </c>
      <c r="H3" s="27"/>
      <c r="I3" s="15" t="s">
        <v>231</v>
      </c>
      <c r="J3" s="15" t="s">
        <v>91</v>
      </c>
      <c r="K3" s="27"/>
      <c r="L3" s="16" t="s">
        <v>16</v>
      </c>
      <c r="M3" s="16" t="s">
        <v>141</v>
      </c>
      <c r="N3" s="27"/>
      <c r="O3" s="55"/>
    </row>
    <row r="4" spans="1:15" s="17" customFormat="1" ht="13">
      <c r="A4" s="56"/>
      <c r="B4" s="302" t="s">
        <v>60</v>
      </c>
      <c r="C4" s="145"/>
      <c r="D4" s="146">
        <v>7.4999999999999997E-2</v>
      </c>
      <c r="E4" s="147">
        <v>0.83</v>
      </c>
      <c r="F4" s="148">
        <v>0.74</v>
      </c>
      <c r="G4" s="149">
        <v>477</v>
      </c>
      <c r="H4" s="27"/>
      <c r="I4" s="289">
        <f t="shared" ref="I4:I19" si="0">(G4*D4*E4)</f>
        <v>29.693249999999999</v>
      </c>
      <c r="J4" s="289">
        <f>I4*C4</f>
        <v>0</v>
      </c>
      <c r="K4" s="27"/>
      <c r="L4" s="158">
        <v>1</v>
      </c>
      <c r="M4" s="158"/>
      <c r="N4" s="27"/>
      <c r="O4" s="56"/>
    </row>
    <row r="5" spans="1:15" s="17" customFormat="1" ht="13">
      <c r="A5" s="56"/>
      <c r="B5" s="303" t="s">
        <v>59</v>
      </c>
      <c r="C5" s="145"/>
      <c r="D5" s="150">
        <v>0.04</v>
      </c>
      <c r="E5" s="151">
        <v>0.73</v>
      </c>
      <c r="F5" s="152">
        <v>0.4</v>
      </c>
      <c r="G5" s="153">
        <v>170</v>
      </c>
      <c r="H5" s="27"/>
      <c r="I5" s="293">
        <f t="shared" si="0"/>
        <v>4.9639999999999995</v>
      </c>
      <c r="J5" s="293">
        <f>I5*C5</f>
        <v>0</v>
      </c>
      <c r="K5" s="27"/>
      <c r="L5" s="158">
        <v>1</v>
      </c>
      <c r="M5" s="158"/>
      <c r="N5" s="27"/>
      <c r="O5" s="56"/>
    </row>
    <row r="6" spans="1:15" s="17" customFormat="1" ht="13">
      <c r="A6" s="56"/>
      <c r="B6" s="304" t="s">
        <v>61</v>
      </c>
      <c r="C6" s="145">
        <v>1000</v>
      </c>
      <c r="D6" s="150">
        <v>0.05</v>
      </c>
      <c r="E6" s="151">
        <v>0.8</v>
      </c>
      <c r="F6" s="152">
        <v>0.5</v>
      </c>
      <c r="G6" s="153">
        <v>270</v>
      </c>
      <c r="H6" s="27"/>
      <c r="I6" s="293">
        <f t="shared" si="0"/>
        <v>10.8</v>
      </c>
      <c r="J6" s="293">
        <f>I6*C6</f>
        <v>10800</v>
      </c>
      <c r="K6" s="27"/>
      <c r="L6" s="158">
        <v>1</v>
      </c>
      <c r="M6" s="158"/>
      <c r="N6" s="27"/>
      <c r="O6" s="56"/>
    </row>
    <row r="7" spans="1:15" s="17" customFormat="1" ht="13">
      <c r="A7" s="56"/>
      <c r="B7" s="305" t="s">
        <v>62</v>
      </c>
      <c r="C7" s="145">
        <v>8500</v>
      </c>
      <c r="D7" s="154">
        <v>0.11</v>
      </c>
      <c r="E7" s="155">
        <v>0.78700000000000003</v>
      </c>
      <c r="F7" s="156">
        <v>0.45</v>
      </c>
      <c r="G7" s="157">
        <v>220</v>
      </c>
      <c r="H7" s="27"/>
      <c r="I7" s="301">
        <f>(G7*D7*E7)</f>
        <v>19.045400000000001</v>
      </c>
      <c r="J7" s="301">
        <f>I7*C7</f>
        <v>161885.9</v>
      </c>
      <c r="K7" s="27"/>
      <c r="L7" s="158">
        <v>1</v>
      </c>
      <c r="M7" s="158"/>
      <c r="N7" s="27"/>
      <c r="O7" s="56"/>
    </row>
    <row r="8" spans="1:15" s="346" customFormat="1" ht="13">
      <c r="A8" s="343"/>
      <c r="B8" s="343"/>
      <c r="C8" s="342"/>
      <c r="D8" s="344"/>
      <c r="E8" s="345"/>
      <c r="F8" s="344"/>
      <c r="G8" s="344"/>
      <c r="H8" s="343"/>
      <c r="I8" s="343"/>
      <c r="J8" s="343"/>
      <c r="K8" s="343"/>
      <c r="L8" s="343"/>
      <c r="M8" s="343"/>
      <c r="N8" s="343"/>
      <c r="O8" s="343"/>
    </row>
    <row r="9" spans="1:15" s="17" customFormat="1" ht="13">
      <c r="A9" s="56"/>
      <c r="B9" s="302" t="s">
        <v>63</v>
      </c>
      <c r="C9" s="145"/>
      <c r="D9" s="322">
        <v>0.15</v>
      </c>
      <c r="E9" s="147">
        <v>0.79</v>
      </c>
      <c r="F9" s="148">
        <v>0.5</v>
      </c>
      <c r="G9" s="149">
        <v>250</v>
      </c>
      <c r="H9" s="27"/>
      <c r="I9" s="289">
        <f t="shared" si="0"/>
        <v>29.625</v>
      </c>
      <c r="J9" s="289">
        <f t="shared" ref="J9:J17" si="1">I9*C9</f>
        <v>0</v>
      </c>
      <c r="K9" s="27"/>
      <c r="L9" s="158">
        <v>1</v>
      </c>
      <c r="M9" s="158"/>
      <c r="N9" s="27"/>
      <c r="O9" s="56"/>
    </row>
    <row r="10" spans="1:15" s="17" customFormat="1" ht="13">
      <c r="A10" s="56"/>
      <c r="B10" s="304" t="s">
        <v>64</v>
      </c>
      <c r="C10" s="145"/>
      <c r="D10" s="323">
        <v>0.18</v>
      </c>
      <c r="E10" s="151">
        <v>0.76</v>
      </c>
      <c r="F10" s="152">
        <v>0.55000000000000004</v>
      </c>
      <c r="G10" s="153">
        <v>250</v>
      </c>
      <c r="H10" s="27"/>
      <c r="I10" s="293">
        <f t="shared" si="0"/>
        <v>34.200000000000003</v>
      </c>
      <c r="J10" s="293">
        <f t="shared" si="1"/>
        <v>0</v>
      </c>
      <c r="K10" s="27"/>
      <c r="L10" s="158">
        <v>1</v>
      </c>
      <c r="M10" s="158"/>
      <c r="N10" s="27"/>
      <c r="O10" s="56"/>
    </row>
    <row r="11" spans="1:15" s="18" customFormat="1" ht="13">
      <c r="A11" s="57"/>
      <c r="B11" s="304" t="s">
        <v>65</v>
      </c>
      <c r="C11" s="145"/>
      <c r="D11" s="323">
        <v>0.21</v>
      </c>
      <c r="E11" s="151">
        <v>0.81100000000000005</v>
      </c>
      <c r="F11" s="152">
        <v>0.55000000000000004</v>
      </c>
      <c r="G11" s="153">
        <v>260</v>
      </c>
      <c r="H11" s="27"/>
      <c r="I11" s="293">
        <f t="shared" si="0"/>
        <v>44.280600000000007</v>
      </c>
      <c r="J11" s="293">
        <f t="shared" si="1"/>
        <v>0</v>
      </c>
      <c r="K11" s="27"/>
      <c r="L11" s="158">
        <v>1</v>
      </c>
      <c r="M11" s="158"/>
      <c r="N11" s="27"/>
      <c r="O11" s="57"/>
    </row>
    <row r="12" spans="1:15" s="17" customFormat="1" ht="13">
      <c r="A12" s="56"/>
      <c r="B12" s="304" t="s">
        <v>66</v>
      </c>
      <c r="C12" s="145">
        <v>500</v>
      </c>
      <c r="D12" s="323">
        <v>0.27</v>
      </c>
      <c r="E12" s="151">
        <v>0.81699999999999995</v>
      </c>
      <c r="F12" s="152">
        <v>0.55000000000000004</v>
      </c>
      <c r="G12" s="153">
        <v>270</v>
      </c>
      <c r="H12" s="27"/>
      <c r="I12" s="293">
        <f>(G12*D12*E12)</f>
        <v>59.5593</v>
      </c>
      <c r="J12" s="293">
        <f t="shared" si="1"/>
        <v>29779.65</v>
      </c>
      <c r="K12" s="27"/>
      <c r="L12" s="158">
        <v>1</v>
      </c>
      <c r="M12" s="158"/>
      <c r="N12" s="27"/>
      <c r="O12" s="56"/>
    </row>
    <row r="13" spans="1:15" s="17" customFormat="1" ht="13">
      <c r="A13" s="56"/>
      <c r="B13" s="304" t="s">
        <v>67</v>
      </c>
      <c r="C13" s="145"/>
      <c r="D13" s="323">
        <v>0.27</v>
      </c>
      <c r="E13" s="151">
        <v>0.76800000000000002</v>
      </c>
      <c r="F13" s="152">
        <v>0.55000000000000004</v>
      </c>
      <c r="G13" s="153">
        <v>300</v>
      </c>
      <c r="H13" s="27"/>
      <c r="I13" s="293">
        <f t="shared" si="0"/>
        <v>62.207999999999998</v>
      </c>
      <c r="J13" s="293">
        <f t="shared" si="1"/>
        <v>0</v>
      </c>
      <c r="K13" s="27"/>
      <c r="L13" s="158">
        <v>1</v>
      </c>
      <c r="M13" s="158"/>
      <c r="N13" s="27"/>
      <c r="O13" s="56"/>
    </row>
    <row r="14" spans="1:15" s="17" customFormat="1" ht="13">
      <c r="A14" s="56"/>
      <c r="B14" s="304" t="s">
        <v>224</v>
      </c>
      <c r="C14" s="145"/>
      <c r="D14" s="323">
        <v>0.28000000000000003</v>
      </c>
      <c r="E14" s="151">
        <f>410/540</f>
        <v>0.7592592592592593</v>
      </c>
      <c r="F14" s="152">
        <v>0.45</v>
      </c>
      <c r="G14" s="153">
        <v>200</v>
      </c>
      <c r="H14" s="27"/>
      <c r="I14" s="293">
        <f t="shared" si="0"/>
        <v>42.518518518518526</v>
      </c>
      <c r="J14" s="293">
        <f t="shared" si="1"/>
        <v>0</v>
      </c>
      <c r="K14" s="27"/>
      <c r="L14" s="158">
        <v>1</v>
      </c>
      <c r="M14" s="158"/>
      <c r="N14" s="27"/>
      <c r="O14" s="56"/>
    </row>
    <row r="15" spans="1:15" s="17" customFormat="1" ht="13">
      <c r="A15" s="56"/>
      <c r="B15" s="304" t="s">
        <v>116</v>
      </c>
      <c r="C15" s="145"/>
      <c r="D15" s="323">
        <v>0.3</v>
      </c>
      <c r="E15" s="151">
        <v>0.79</v>
      </c>
      <c r="F15" s="152">
        <v>0.45</v>
      </c>
      <c r="G15" s="153">
        <v>200</v>
      </c>
      <c r="H15" s="27"/>
      <c r="I15" s="293">
        <f t="shared" si="0"/>
        <v>47.400000000000006</v>
      </c>
      <c r="J15" s="293">
        <f t="shared" si="1"/>
        <v>0</v>
      </c>
      <c r="K15" s="27"/>
      <c r="L15" s="158">
        <v>1</v>
      </c>
      <c r="M15" s="158"/>
      <c r="N15" s="27"/>
      <c r="O15" s="56"/>
    </row>
    <row r="16" spans="1:15" s="17" customFormat="1" ht="13">
      <c r="A16" s="56"/>
      <c r="B16" s="304" t="s">
        <v>117</v>
      </c>
      <c r="C16" s="145"/>
      <c r="D16" s="323">
        <v>0.4</v>
      </c>
      <c r="E16" s="151">
        <f>(72%+84%)/2</f>
        <v>0.78</v>
      </c>
      <c r="F16" s="152">
        <v>0.4</v>
      </c>
      <c r="G16" s="153">
        <v>200</v>
      </c>
      <c r="H16" s="27"/>
      <c r="I16" s="293">
        <f>(G16*D16*E16)</f>
        <v>62.400000000000006</v>
      </c>
      <c r="J16" s="293">
        <f t="shared" si="1"/>
        <v>0</v>
      </c>
      <c r="K16" s="27"/>
      <c r="L16" s="158">
        <v>1</v>
      </c>
      <c r="M16" s="158"/>
      <c r="N16" s="27"/>
      <c r="O16" s="56"/>
    </row>
    <row r="17" spans="1:15" s="17" customFormat="1" ht="13">
      <c r="A17" s="56"/>
      <c r="B17" s="305" t="s">
        <v>118</v>
      </c>
      <c r="C17" s="145"/>
      <c r="D17" s="324">
        <v>0.57999999999999996</v>
      </c>
      <c r="E17" s="155">
        <v>0.73</v>
      </c>
      <c r="F17" s="156">
        <v>0.55000000000000004</v>
      </c>
      <c r="G17" s="157">
        <v>270</v>
      </c>
      <c r="H17" s="27"/>
      <c r="I17" s="301">
        <f t="shared" si="0"/>
        <v>114.318</v>
      </c>
      <c r="J17" s="301">
        <f t="shared" si="1"/>
        <v>0</v>
      </c>
      <c r="K17" s="27"/>
      <c r="L17" s="158">
        <v>1</v>
      </c>
      <c r="M17" s="158"/>
      <c r="N17" s="27"/>
      <c r="O17" s="56"/>
    </row>
    <row r="18" spans="1:15" s="346" customFormat="1" ht="13">
      <c r="A18" s="343"/>
      <c r="B18" s="343"/>
      <c r="C18" s="342"/>
      <c r="D18" s="344"/>
      <c r="E18" s="345"/>
      <c r="F18" s="344"/>
      <c r="G18" s="344"/>
      <c r="H18" s="343"/>
      <c r="I18" s="343"/>
      <c r="J18" s="343"/>
      <c r="K18" s="343"/>
      <c r="L18" s="343"/>
      <c r="M18" s="343"/>
      <c r="N18" s="343"/>
      <c r="O18" s="343"/>
    </row>
    <row r="19" spans="1:15" s="17" customFormat="1" ht="13">
      <c r="A19" s="56"/>
      <c r="B19" s="174" t="s">
        <v>122</v>
      </c>
      <c r="C19" s="145"/>
      <c r="D19" s="146">
        <v>9.9999999999999995E-7</v>
      </c>
      <c r="E19" s="147">
        <v>9.9999999999999995E-7</v>
      </c>
      <c r="F19" s="148">
        <v>9.9999999999999995E-7</v>
      </c>
      <c r="G19" s="149">
        <v>0</v>
      </c>
      <c r="H19" s="27"/>
      <c r="I19" s="289">
        <f t="shared" si="0"/>
        <v>0</v>
      </c>
      <c r="J19" s="289">
        <f t="shared" ref="J19:J37" si="2">I19*C19</f>
        <v>0</v>
      </c>
      <c r="K19" s="27"/>
      <c r="L19" s="158"/>
      <c r="M19" s="158"/>
      <c r="N19" s="27"/>
      <c r="O19" s="56"/>
    </row>
    <row r="20" spans="1:15" s="17" customFormat="1" ht="13">
      <c r="A20" s="56"/>
      <c r="B20" s="306" t="s">
        <v>190</v>
      </c>
      <c r="C20" s="145"/>
      <c r="D20" s="150">
        <v>0.87</v>
      </c>
      <c r="E20" s="151">
        <v>0.98</v>
      </c>
      <c r="F20" s="152">
        <v>0.87</v>
      </c>
      <c r="G20" s="153">
        <v>380</v>
      </c>
      <c r="H20" s="27"/>
      <c r="I20" s="293">
        <f t="shared" ref="I20:I28" si="3">(G20*D20*E20)</f>
        <v>323.988</v>
      </c>
      <c r="J20" s="293">
        <f t="shared" si="2"/>
        <v>0</v>
      </c>
      <c r="K20" s="27"/>
      <c r="L20" s="158"/>
      <c r="M20" s="158"/>
      <c r="N20" s="27"/>
      <c r="O20" s="56"/>
    </row>
    <row r="21" spans="1:15" s="1" customFormat="1" ht="13">
      <c r="A21" s="27"/>
      <c r="B21" s="306" t="s">
        <v>166</v>
      </c>
      <c r="C21" s="145">
        <v>700</v>
      </c>
      <c r="D21" s="150">
        <v>0.33</v>
      </c>
      <c r="E21" s="151">
        <v>0.92</v>
      </c>
      <c r="F21" s="152">
        <v>0.73</v>
      </c>
      <c r="G21" s="153">
        <v>350</v>
      </c>
      <c r="H21" s="27"/>
      <c r="I21" s="293">
        <f t="shared" si="3"/>
        <v>106.26</v>
      </c>
      <c r="J21" s="293">
        <f t="shared" si="2"/>
        <v>74382</v>
      </c>
      <c r="K21" s="27"/>
      <c r="L21" s="158"/>
      <c r="M21" s="158"/>
      <c r="N21" s="27"/>
      <c r="O21" s="27"/>
    </row>
    <row r="22" spans="1:15" s="17" customFormat="1" ht="13">
      <c r="A22" s="56"/>
      <c r="B22" s="306" t="s">
        <v>146</v>
      </c>
      <c r="C22" s="145"/>
      <c r="D22" s="150">
        <v>0.16</v>
      </c>
      <c r="E22" s="151">
        <v>0.78</v>
      </c>
      <c r="F22" s="152">
        <v>0.65</v>
      </c>
      <c r="G22" s="153">
        <v>350</v>
      </c>
      <c r="H22" s="27"/>
      <c r="I22" s="293">
        <f t="shared" si="3"/>
        <v>43.68</v>
      </c>
      <c r="J22" s="293">
        <f t="shared" si="2"/>
        <v>0</v>
      </c>
      <c r="K22" s="27"/>
      <c r="L22" s="158"/>
      <c r="M22" s="158"/>
      <c r="N22" s="27"/>
      <c r="O22" s="56"/>
    </row>
    <row r="23" spans="1:15" s="1" customFormat="1" ht="13">
      <c r="A23" s="27"/>
      <c r="B23" s="306" t="s">
        <v>175</v>
      </c>
      <c r="C23" s="145">
        <v>500</v>
      </c>
      <c r="D23" s="150">
        <v>0.91</v>
      </c>
      <c r="E23" s="151">
        <v>0.94</v>
      </c>
      <c r="F23" s="152">
        <v>0.44</v>
      </c>
      <c r="G23" s="153">
        <v>200</v>
      </c>
      <c r="H23" s="27"/>
      <c r="I23" s="293">
        <f t="shared" si="3"/>
        <v>171.07999999999998</v>
      </c>
      <c r="J23" s="293">
        <f t="shared" si="2"/>
        <v>85539.999999999985</v>
      </c>
      <c r="K23" s="27"/>
      <c r="L23" s="158"/>
      <c r="M23" s="158"/>
      <c r="N23" s="27"/>
      <c r="O23" s="27"/>
    </row>
    <row r="24" spans="1:15" s="1" customFormat="1" ht="13">
      <c r="A24" s="27"/>
      <c r="B24" s="307" t="s">
        <v>145</v>
      </c>
      <c r="C24" s="145"/>
      <c r="D24" s="150">
        <v>0.23</v>
      </c>
      <c r="E24" s="151">
        <v>0.82</v>
      </c>
      <c r="F24" s="152">
        <v>0.4</v>
      </c>
      <c r="G24" s="153">
        <v>200</v>
      </c>
      <c r="H24" s="27"/>
      <c r="I24" s="293">
        <f t="shared" si="3"/>
        <v>37.72</v>
      </c>
      <c r="J24" s="293">
        <f t="shared" si="2"/>
        <v>0</v>
      </c>
      <c r="K24" s="27"/>
      <c r="L24" s="158"/>
      <c r="M24" s="158"/>
      <c r="N24" s="27"/>
      <c r="O24" s="27"/>
    </row>
    <row r="25" spans="1:15" s="1" customFormat="1" ht="13">
      <c r="A25" s="27"/>
      <c r="B25" s="307" t="s">
        <v>243</v>
      </c>
      <c r="C25" s="145"/>
      <c r="D25" s="150">
        <v>0.95</v>
      </c>
      <c r="E25" s="151">
        <v>0.87</v>
      </c>
      <c r="F25" s="152">
        <v>0.55000000000000004</v>
      </c>
      <c r="G25" s="153">
        <v>600</v>
      </c>
      <c r="H25" s="27"/>
      <c r="I25" s="293">
        <f t="shared" si="3"/>
        <v>495.9</v>
      </c>
      <c r="J25" s="293">
        <f t="shared" si="2"/>
        <v>0</v>
      </c>
      <c r="K25" s="27"/>
      <c r="L25" s="158"/>
      <c r="M25" s="158"/>
      <c r="N25" s="27"/>
      <c r="O25" s="27"/>
    </row>
    <row r="26" spans="1:15" s="1" customFormat="1" ht="13">
      <c r="A26" s="27"/>
      <c r="B26" s="307" t="s">
        <v>244</v>
      </c>
      <c r="C26" s="145">
        <v>100</v>
      </c>
      <c r="D26" s="150">
        <v>0.88</v>
      </c>
      <c r="E26" s="151">
        <v>0.94</v>
      </c>
      <c r="F26" s="152">
        <v>0.46</v>
      </c>
      <c r="G26" s="153">
        <v>220</v>
      </c>
      <c r="H26" s="27"/>
      <c r="I26" s="293">
        <f t="shared" si="3"/>
        <v>181.98399999999998</v>
      </c>
      <c r="J26" s="293">
        <f t="shared" si="2"/>
        <v>18198.399999999998</v>
      </c>
      <c r="K26" s="27"/>
      <c r="L26" s="158"/>
      <c r="M26" s="158"/>
      <c r="N26" s="27"/>
      <c r="O26" s="27"/>
    </row>
    <row r="27" spans="1:15" s="1" customFormat="1" ht="13">
      <c r="A27" s="27"/>
      <c r="B27" s="308" t="s">
        <v>245</v>
      </c>
      <c r="C27" s="145"/>
      <c r="D27" s="150">
        <v>0.12</v>
      </c>
      <c r="E27" s="151">
        <v>0.8</v>
      </c>
      <c r="F27" s="152">
        <v>0.81</v>
      </c>
      <c r="G27" s="153">
        <v>400</v>
      </c>
      <c r="H27" s="27"/>
      <c r="I27" s="293">
        <f t="shared" si="3"/>
        <v>38.400000000000006</v>
      </c>
      <c r="J27" s="293">
        <f t="shared" si="2"/>
        <v>0</v>
      </c>
      <c r="K27" s="27"/>
      <c r="L27" s="158"/>
      <c r="M27" s="158"/>
      <c r="N27" s="27"/>
      <c r="O27" s="27"/>
    </row>
    <row r="28" spans="1:15" s="1" customFormat="1" ht="13">
      <c r="A28" s="27"/>
      <c r="B28" s="161" t="s">
        <v>246</v>
      </c>
      <c r="C28" s="145"/>
      <c r="D28" s="150">
        <v>0.15</v>
      </c>
      <c r="E28" s="151">
        <v>0.8</v>
      </c>
      <c r="F28" s="152">
        <v>0.6</v>
      </c>
      <c r="G28" s="153">
        <v>490</v>
      </c>
      <c r="H28" s="27"/>
      <c r="I28" s="293">
        <f t="shared" si="3"/>
        <v>58.800000000000004</v>
      </c>
      <c r="J28" s="293">
        <f t="shared" si="2"/>
        <v>0</v>
      </c>
      <c r="K28" s="27"/>
      <c r="L28" s="158"/>
      <c r="M28" s="158"/>
      <c r="N28" s="27"/>
      <c r="O28" s="27"/>
    </row>
    <row r="29" spans="1:15" s="1" customFormat="1" ht="13">
      <c r="A29" s="27"/>
      <c r="B29" s="161" t="s">
        <v>256</v>
      </c>
      <c r="C29" s="145"/>
      <c r="D29" s="150">
        <v>0.32</v>
      </c>
      <c r="E29" s="151">
        <v>0.95</v>
      </c>
      <c r="F29" s="152">
        <v>0.57999999999999996</v>
      </c>
      <c r="G29" s="153">
        <v>360</v>
      </c>
      <c r="H29" s="27"/>
      <c r="I29" s="293">
        <f t="shared" ref="I29:I34" si="4">(G29*D29*E29)</f>
        <v>109.44</v>
      </c>
      <c r="J29" s="293">
        <f t="shared" ref="J29:J34" si="5">I29*C29</f>
        <v>0</v>
      </c>
      <c r="K29" s="27"/>
      <c r="L29" s="158"/>
      <c r="M29" s="158"/>
      <c r="N29" s="27"/>
      <c r="O29" s="27"/>
    </row>
    <row r="30" spans="1:15" s="1" customFormat="1" ht="13">
      <c r="A30" s="27"/>
      <c r="B30" s="161" t="s">
        <v>278</v>
      </c>
      <c r="C30" s="145"/>
      <c r="D30" s="150">
        <v>0.53</v>
      </c>
      <c r="E30" s="151">
        <v>0.9</v>
      </c>
      <c r="F30" s="152">
        <v>0.55000000000000004</v>
      </c>
      <c r="G30" s="153">
        <v>500</v>
      </c>
      <c r="H30" s="27"/>
      <c r="I30" s="293">
        <f t="shared" si="4"/>
        <v>238.5</v>
      </c>
      <c r="J30" s="293">
        <f t="shared" si="5"/>
        <v>0</v>
      </c>
      <c r="K30" s="27"/>
      <c r="L30" s="158"/>
      <c r="M30" s="158"/>
      <c r="N30" s="27"/>
      <c r="O30" s="27"/>
    </row>
    <row r="31" spans="1:15" s="1" customFormat="1" ht="13">
      <c r="A31" s="27"/>
      <c r="B31" s="161" t="s">
        <v>280</v>
      </c>
      <c r="C31" s="145">
        <v>500</v>
      </c>
      <c r="D31" s="150">
        <v>0.15</v>
      </c>
      <c r="E31" s="151">
        <v>0.82</v>
      </c>
      <c r="F31" s="152">
        <v>0.4</v>
      </c>
      <c r="G31" s="153">
        <v>200</v>
      </c>
      <c r="H31" s="27"/>
      <c r="I31" s="293">
        <f t="shared" si="4"/>
        <v>24.599999999999998</v>
      </c>
      <c r="J31" s="293">
        <f t="shared" si="5"/>
        <v>12299.999999999998</v>
      </c>
      <c r="K31" s="27"/>
      <c r="L31" s="158"/>
      <c r="M31" s="158"/>
      <c r="N31" s="27"/>
      <c r="O31" s="27"/>
    </row>
    <row r="32" spans="1:15" s="1" customFormat="1" ht="13">
      <c r="A32" s="27"/>
      <c r="B32" s="161" t="s">
        <v>273</v>
      </c>
      <c r="C32" s="145"/>
      <c r="D32" s="150">
        <v>0.28000000000000003</v>
      </c>
      <c r="E32" s="151">
        <v>0.94699999999999995</v>
      </c>
      <c r="F32" s="152">
        <v>0.55000000000000004</v>
      </c>
      <c r="G32" s="153">
        <v>427</v>
      </c>
      <c r="H32" s="27"/>
      <c r="I32" s="293">
        <f t="shared" si="4"/>
        <v>113.22332000000002</v>
      </c>
      <c r="J32" s="293">
        <f t="shared" si="5"/>
        <v>0</v>
      </c>
      <c r="K32" s="27"/>
      <c r="L32" s="158"/>
      <c r="M32" s="158"/>
      <c r="N32" s="27"/>
      <c r="O32" s="27"/>
    </row>
    <row r="33" spans="1:36" s="1" customFormat="1" ht="13">
      <c r="A33" s="27"/>
      <c r="B33" s="161" t="s">
        <v>274</v>
      </c>
      <c r="C33" s="145"/>
      <c r="D33" s="150">
        <v>0.35</v>
      </c>
      <c r="E33" s="151">
        <v>0.84766666666666668</v>
      </c>
      <c r="F33" s="152">
        <v>0.55000000000000004</v>
      </c>
      <c r="G33" s="153">
        <v>430</v>
      </c>
      <c r="H33" s="27"/>
      <c r="I33" s="293">
        <f t="shared" si="4"/>
        <v>127.57383333333334</v>
      </c>
      <c r="J33" s="293">
        <f t="shared" si="5"/>
        <v>0</v>
      </c>
      <c r="K33" s="27"/>
      <c r="L33" s="158"/>
      <c r="M33" s="158"/>
      <c r="N33" s="27"/>
      <c r="O33" s="27"/>
    </row>
    <row r="34" spans="1:36" s="1" customFormat="1" ht="13">
      <c r="A34" s="27"/>
      <c r="B34" s="161" t="s">
        <v>275</v>
      </c>
      <c r="C34" s="145"/>
      <c r="D34" s="150">
        <v>0.45</v>
      </c>
      <c r="E34" s="151">
        <v>0.92</v>
      </c>
      <c r="F34" s="152">
        <v>0.29987999999999998</v>
      </c>
      <c r="G34" s="153">
        <v>490.19607843137254</v>
      </c>
      <c r="H34" s="27"/>
      <c r="I34" s="293">
        <f t="shared" si="4"/>
        <v>202.94117647058826</v>
      </c>
      <c r="J34" s="293">
        <f t="shared" si="5"/>
        <v>0</v>
      </c>
      <c r="K34" s="27"/>
      <c r="L34" s="158"/>
      <c r="M34" s="158"/>
      <c r="N34" s="27"/>
      <c r="O34" s="27"/>
    </row>
    <row r="35" spans="1:36" s="1" customFormat="1" ht="13">
      <c r="A35" s="27"/>
      <c r="B35" s="161" t="s">
        <v>279</v>
      </c>
      <c r="C35" s="145"/>
      <c r="D35" s="150">
        <v>0.84899999999999998</v>
      </c>
      <c r="E35" s="151">
        <v>0.98</v>
      </c>
      <c r="F35" s="152">
        <v>0.6409174576271186</v>
      </c>
      <c r="G35" s="153">
        <v>477.1146692544072</v>
      </c>
      <c r="H35" s="27"/>
      <c r="I35" s="293">
        <f>(G35*D35*E35)</f>
        <v>396.96894711305191</v>
      </c>
      <c r="J35" s="293">
        <f>I35*C35</f>
        <v>0</v>
      </c>
      <c r="K35" s="27"/>
      <c r="L35" s="158"/>
      <c r="M35" s="158"/>
      <c r="N35" s="27"/>
      <c r="O35" s="27"/>
    </row>
    <row r="36" spans="1:36" s="1" customFormat="1" ht="13">
      <c r="A36" s="27"/>
      <c r="B36" s="161" t="s">
        <v>276</v>
      </c>
      <c r="C36" s="145"/>
      <c r="D36" s="150">
        <v>0.32900000000000001</v>
      </c>
      <c r="E36" s="151">
        <v>0.94528875379939203</v>
      </c>
      <c r="F36" s="152">
        <v>0.87</v>
      </c>
      <c r="G36" s="153">
        <v>620</v>
      </c>
      <c r="H36" s="27"/>
      <c r="I36" s="293">
        <f>(G36*D36*E36)</f>
        <v>192.82</v>
      </c>
      <c r="J36" s="293">
        <f t="shared" si="2"/>
        <v>0</v>
      </c>
      <c r="K36" s="27"/>
      <c r="L36" s="158"/>
      <c r="M36" s="158"/>
      <c r="N36" s="27"/>
      <c r="O36" s="27"/>
    </row>
    <row r="37" spans="1:36" s="17" customFormat="1" ht="13">
      <c r="A37" s="56"/>
      <c r="B37" s="161" t="s">
        <v>277</v>
      </c>
      <c r="C37" s="145"/>
      <c r="D37" s="150">
        <v>0.2311</v>
      </c>
      <c r="E37" s="151">
        <v>0.92859999999999998</v>
      </c>
      <c r="F37" s="152">
        <v>0.45</v>
      </c>
      <c r="G37" s="153">
        <v>560</v>
      </c>
      <c r="H37" s="27"/>
      <c r="I37" s="301">
        <f>(G37*D37*E37)</f>
        <v>120.17569759999999</v>
      </c>
      <c r="J37" s="301">
        <f t="shared" si="2"/>
        <v>0</v>
      </c>
      <c r="K37" s="27"/>
      <c r="L37" s="158"/>
      <c r="M37" s="158"/>
      <c r="N37" s="27"/>
      <c r="O37" s="56"/>
    </row>
    <row r="38" spans="1:36" s="1" customForma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36" s="1" customForma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36" s="1" customForma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36" s="1" customForma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36" s="1" customForma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36" s="1" customForma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36" s="1" customForma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36" s="1" customFormat="1" ht="13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36" s="20" customFormat="1" ht="13" thickBot="1">
      <c r="A46" s="60"/>
      <c r="B46" s="309" t="s">
        <v>11</v>
      </c>
      <c r="C46" s="312">
        <f>SUM(C4:C37)</f>
        <v>11800</v>
      </c>
      <c r="D46" s="313">
        <f>SUMPRODUCT(D4:D37,C4:C37)</f>
        <v>1969</v>
      </c>
      <c r="E46" s="313">
        <f>SUMPRODUCT(E4:E37,D4:D37,C4:C37)</f>
        <v>1670.5800000000002</v>
      </c>
      <c r="F46" s="314">
        <f>SUMPRODUCT(F4:F37,E4:E37,D4:D37,$C$4:$C$37)</f>
        <v>817.77130000000011</v>
      </c>
      <c r="G46" s="59"/>
      <c r="H46" s="38"/>
      <c r="I46" s="27"/>
      <c r="J46" s="316">
        <f>SUM(J4:J37)</f>
        <v>392885.95</v>
      </c>
      <c r="K46" s="38"/>
      <c r="L46" s="317">
        <f>SUMIF(L4:L37,"&gt;0",$C$4:$C$37)</f>
        <v>10000</v>
      </c>
      <c r="M46" s="317">
        <f>SUMIF(M4:M37,"&gt;0",$C$4:$C$37)</f>
        <v>0</v>
      </c>
      <c r="N46" s="27"/>
      <c r="O46" s="2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1" customFormat="1">
      <c r="A47" s="27"/>
      <c r="B47" s="27"/>
      <c r="C47" s="38"/>
      <c r="D47" s="311">
        <f>D46/C46</f>
        <v>0.16686440677966102</v>
      </c>
      <c r="E47" s="311">
        <f>E46/D46</f>
        <v>0.84844083291010675</v>
      </c>
      <c r="F47" s="311">
        <f>F46/E46</f>
        <v>0.48951340253085757</v>
      </c>
      <c r="G47" s="38"/>
      <c r="H47" s="38"/>
      <c r="I47" s="27"/>
      <c r="J47" s="27"/>
      <c r="K47" s="27"/>
      <c r="L47" s="38"/>
      <c r="M47" s="38"/>
      <c r="N47" s="27"/>
      <c r="O47" s="27"/>
    </row>
    <row r="48" spans="1:36" s="1" customFormat="1">
      <c r="A48" s="27"/>
      <c r="B48" s="27"/>
      <c r="C48" s="38"/>
      <c r="D48" s="38"/>
      <c r="E48" s="38"/>
      <c r="F48" s="38"/>
      <c r="G48" s="38"/>
      <c r="H48" s="38"/>
      <c r="I48" s="27"/>
      <c r="J48" s="38"/>
      <c r="K48" s="38"/>
      <c r="L48" s="38"/>
      <c r="M48" s="38"/>
      <c r="N48" s="27"/>
      <c r="O48" s="27"/>
    </row>
    <row r="49" spans="1:16" s="1" customFormat="1">
      <c r="A49" s="27"/>
      <c r="B49" s="310" t="s">
        <v>229</v>
      </c>
      <c r="C49" s="315">
        <f>SUMIF(D4:D37,D49,C4:C37)</f>
        <v>1800</v>
      </c>
      <c r="D49" s="18" t="s">
        <v>148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6" s="1" customFormat="1" ht="13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6" s="1" customFormat="1" ht="13" thickBot="1">
      <c r="A51" s="27"/>
      <c r="B51" s="6" t="s">
        <v>124</v>
      </c>
      <c r="C51" s="6" t="s">
        <v>40</v>
      </c>
      <c r="D51" s="316">
        <f>Matieres_entrantes/365</f>
        <v>32.328767123287669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6" s="1" customFormat="1" ht="13" thickBot="1">
      <c r="A52" s="27"/>
      <c r="B52" s="6" t="s">
        <v>125</v>
      </c>
      <c r="C52" s="6" t="s">
        <v>126</v>
      </c>
      <c r="D52" s="316">
        <f>J46/Matieres_entrantes</f>
        <v>33.295419491525422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6" s="1" customForma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1" customFormat="1">
      <c r="A54" s="164" t="str">
        <f>IF(D47&lt;5%,"Attention, le mélange est très liquide. Le logiciel est inadapté.",IF(D47&gt;25%,"Attention, le mélange dépasse 25% de matière sèche. Le logiciel est inadapté.","OK"))</f>
        <v>OK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6">
      <c r="H55" s="1"/>
      <c r="K55" s="1"/>
      <c r="L55" s="1"/>
      <c r="M55" s="1"/>
      <c r="N55" s="1"/>
      <c r="O55" s="1"/>
      <c r="P55" s="1"/>
    </row>
    <row r="56" spans="1:16">
      <c r="H56" s="1"/>
      <c r="K56" s="1"/>
      <c r="L56" s="1"/>
      <c r="M56" s="1"/>
      <c r="N56" s="1"/>
      <c r="O56" s="1"/>
      <c r="P56" s="1"/>
    </row>
    <row r="57" spans="1:16">
      <c r="H57" s="1"/>
      <c r="K57" s="1"/>
      <c r="L57" s="1"/>
      <c r="M57" s="1"/>
      <c r="N57" s="1"/>
      <c r="O57" s="1"/>
      <c r="P57" s="1"/>
    </row>
    <row r="58" spans="1:16">
      <c r="H58" s="1"/>
      <c r="K58" s="1"/>
      <c r="L58" s="1"/>
      <c r="M58" s="1"/>
      <c r="N58" s="1"/>
      <c r="O58" s="1"/>
      <c r="P58" s="1"/>
    </row>
  </sheetData>
  <sheetProtection password="CC26" sheet="1" objects="1" scenarios="1"/>
  <customSheetViews>
    <customSheetView guid="{59F82281-7419-11DB-A87A-FCB3BF190000}" showRuler="0">
      <selection activeCell="L38" sqref="L38"/>
      <pageSetup paperSize="9" orientation="portrait" horizontalDpi="4294967292" verticalDpi="4294967292"/>
    </customSheetView>
    <customSheetView guid="{59F82282-7419-11DB-A87A-FCB3BF190000}" showRuler="0">
      <selection activeCell="L38" sqref="L38"/>
      <pageSetup paperSize="9" orientation="portrait" horizontalDpi="4294967292" verticalDpi="4294967292"/>
    </customSheetView>
  </customSheetViews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showRuler="0" workbookViewId="0">
      <selection activeCell="O29" sqref="O29"/>
    </sheetView>
  </sheetViews>
  <sheetFormatPr baseColWidth="10" defaultColWidth="7.83203125" defaultRowHeight="12" x14ac:dyDescent="0"/>
  <cols>
    <col min="1" max="1" width="3" style="1" customWidth="1"/>
    <col min="2" max="2" width="17.33203125" style="1" customWidth="1"/>
    <col min="3" max="3" width="4.33203125" style="1" customWidth="1"/>
    <col min="4" max="4" width="15.1640625" style="1" customWidth="1"/>
    <col min="5" max="5" width="9.83203125" style="1" customWidth="1"/>
    <col min="6" max="6" width="10.1640625" style="1" customWidth="1"/>
    <col min="7" max="7" width="10.83203125" style="1" customWidth="1"/>
    <col min="8" max="8" width="11.6640625" style="1" customWidth="1"/>
    <col min="9" max="9" width="9.83203125" style="1" customWidth="1"/>
    <col min="10" max="10" width="10.1640625" style="1" customWidth="1"/>
    <col min="11" max="12" width="11.6640625" style="1" customWidth="1"/>
    <col min="13" max="15" width="10.1640625" style="1" customWidth="1"/>
    <col min="16" max="16" width="12.1640625" style="1" customWidth="1"/>
    <col min="17" max="18" width="10.1640625" style="1" customWidth="1"/>
    <col min="19" max="16384" width="7.83203125" style="1"/>
  </cols>
  <sheetData>
    <row r="1" spans="1:20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>
      <c r="A2" s="27"/>
      <c r="B2" s="27"/>
      <c r="C2" s="27"/>
      <c r="D2" s="27"/>
      <c r="E2" s="4" t="s">
        <v>147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7"/>
      <c r="R2" s="27"/>
      <c r="S2" s="27"/>
      <c r="T2" s="27"/>
    </row>
    <row r="3" spans="1:20" ht="11" customHeight="1">
      <c r="A3" s="27"/>
      <c r="B3" s="21" t="s">
        <v>142</v>
      </c>
      <c r="C3" s="27"/>
      <c r="D3" s="27"/>
      <c r="E3" s="27"/>
      <c r="F3" s="274" t="s">
        <v>13</v>
      </c>
      <c r="G3" s="275"/>
      <c r="H3" s="27"/>
      <c r="I3" s="274" t="s">
        <v>93</v>
      </c>
      <c r="J3" s="275"/>
      <c r="K3" s="52"/>
      <c r="L3" s="27"/>
      <c r="M3" s="27"/>
      <c r="N3" s="27"/>
      <c r="O3" s="27"/>
      <c r="P3" s="27"/>
      <c r="Q3" s="27"/>
      <c r="R3" s="27"/>
      <c r="S3" s="27"/>
      <c r="T3" s="27"/>
    </row>
    <row r="4" spans="1:20">
      <c r="A4" s="27"/>
      <c r="B4" s="8" t="s">
        <v>14</v>
      </c>
      <c r="C4" s="27"/>
      <c r="D4" s="201"/>
      <c r="E4" s="261" t="s">
        <v>158</v>
      </c>
      <c r="F4" s="262"/>
      <c r="G4" s="263">
        <f>Matieres_entrantes</f>
        <v>11800</v>
      </c>
      <c r="H4" s="27"/>
      <c r="I4" s="262"/>
      <c r="J4" s="263">
        <f>G4-G7</f>
        <v>10982.2287</v>
      </c>
      <c r="K4" s="52"/>
      <c r="L4" s="27"/>
      <c r="M4" s="27"/>
      <c r="N4" s="27"/>
      <c r="O4" s="27"/>
      <c r="P4" s="27"/>
      <c r="Q4" s="27"/>
      <c r="R4" s="27"/>
      <c r="S4" s="27"/>
      <c r="T4" s="27"/>
    </row>
    <row r="5" spans="1:20">
      <c r="A5" s="27"/>
      <c r="B5" s="8" t="s">
        <v>216</v>
      </c>
      <c r="C5" s="27"/>
      <c r="D5" s="264" t="s">
        <v>172</v>
      </c>
      <c r="E5" s="265" t="s">
        <v>173</v>
      </c>
      <c r="F5" s="266">
        <f>G5/G4</f>
        <v>0.16686440677966102</v>
      </c>
      <c r="G5" s="267">
        <f>Gisement!D46</f>
        <v>1969</v>
      </c>
      <c r="H5" s="27"/>
      <c r="I5" s="266">
        <f>J5/J4</f>
        <v>0.10482650939512851</v>
      </c>
      <c r="J5" s="267">
        <f>G5-G7</f>
        <v>1151.2286999999999</v>
      </c>
      <c r="K5" s="52"/>
      <c r="L5" s="27"/>
      <c r="M5" s="27"/>
      <c r="N5" s="27"/>
      <c r="O5" s="27"/>
      <c r="P5" s="27"/>
      <c r="Q5" s="27"/>
      <c r="R5" s="27"/>
      <c r="S5" s="27"/>
      <c r="T5" s="27"/>
    </row>
    <row r="6" spans="1:20">
      <c r="A6" s="27"/>
      <c r="B6" s="8" t="s">
        <v>171</v>
      </c>
      <c r="C6" s="27"/>
      <c r="D6" s="264" t="s">
        <v>169</v>
      </c>
      <c r="E6" s="265" t="s">
        <v>81</v>
      </c>
      <c r="F6" s="268">
        <f>G6/G5</f>
        <v>0.84844083291010675</v>
      </c>
      <c r="G6" s="269">
        <f>Gisement!E46</f>
        <v>1670.5800000000002</v>
      </c>
      <c r="H6" s="27"/>
      <c r="I6" s="268">
        <f>J6/J5</f>
        <v>0.74078130609495763</v>
      </c>
      <c r="J6" s="269">
        <f>G6-G7</f>
        <v>852.80870000000004</v>
      </c>
      <c r="K6" s="52"/>
      <c r="L6" s="27"/>
      <c r="M6" s="27"/>
      <c r="N6" s="27"/>
      <c r="O6" s="27"/>
      <c r="P6" s="27"/>
      <c r="Q6" s="27"/>
      <c r="R6" s="27"/>
      <c r="S6" s="27"/>
      <c r="T6" s="27"/>
    </row>
    <row r="7" spans="1:20">
      <c r="A7" s="27"/>
      <c r="B7" s="8" t="s">
        <v>82</v>
      </c>
      <c r="C7" s="27"/>
      <c r="D7" s="270" t="s">
        <v>207</v>
      </c>
      <c r="E7" s="271" t="s">
        <v>212</v>
      </c>
      <c r="F7" s="272">
        <f>G7/G6</f>
        <v>0.48951340253085757</v>
      </c>
      <c r="G7" s="273">
        <f>Gisement!F46</f>
        <v>817.77130000000011</v>
      </c>
      <c r="H7" s="27"/>
      <c r="I7" s="272"/>
      <c r="J7" s="273"/>
      <c r="K7" s="52"/>
      <c r="L7" s="27"/>
      <c r="M7" s="27"/>
      <c r="N7" s="27"/>
      <c r="O7" s="27"/>
      <c r="P7" s="27"/>
      <c r="Q7" s="27"/>
      <c r="R7" s="27"/>
      <c r="S7" s="27"/>
      <c r="T7" s="27"/>
    </row>
    <row r="8" spans="1:20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>
      <c r="A9" s="27"/>
      <c r="B9" s="27"/>
      <c r="C9" s="27"/>
      <c r="D9" s="27"/>
      <c r="E9" s="45"/>
      <c r="F9" s="4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>
      <c r="A10" s="27"/>
      <c r="B10" s="27"/>
      <c r="C10" s="27"/>
      <c r="D10" s="27"/>
      <c r="E10" s="46"/>
      <c r="F10" s="46"/>
      <c r="G10" s="27"/>
      <c r="H10" s="27"/>
      <c r="I10" s="27"/>
      <c r="J10" s="27"/>
      <c r="K10" s="27"/>
      <c r="L10" s="27"/>
      <c r="M10" s="27"/>
      <c r="N10" s="27"/>
      <c r="O10" s="276" t="s">
        <v>104</v>
      </c>
      <c r="P10" s="277"/>
      <c r="Q10" s="27"/>
      <c r="R10" s="27"/>
      <c r="S10" s="27"/>
      <c r="T10" s="27"/>
    </row>
    <row r="11" spans="1:20">
      <c r="A11" s="27"/>
      <c r="B11" s="27"/>
      <c r="C11" s="27"/>
      <c r="D11" s="27"/>
      <c r="E11" s="46"/>
      <c r="F11" s="46"/>
      <c r="G11" s="46"/>
      <c r="H11" s="46"/>
      <c r="I11" s="46"/>
      <c r="J11" s="27"/>
      <c r="K11" s="27"/>
      <c r="L11" s="27"/>
      <c r="M11" s="27"/>
      <c r="N11" s="27"/>
      <c r="O11" s="278"/>
      <c r="P11" s="263">
        <f>P12/25%*N23</f>
        <v>3453.6860999999999</v>
      </c>
      <c r="Q11" s="333" t="s">
        <v>158</v>
      </c>
      <c r="R11" s="27"/>
      <c r="S11" s="27"/>
      <c r="T11" s="27"/>
    </row>
    <row r="12" spans="1:20">
      <c r="A12" s="27"/>
      <c r="B12" s="27"/>
      <c r="C12" s="27"/>
      <c r="D12" s="27"/>
      <c r="E12" s="46"/>
      <c r="F12" s="46"/>
      <c r="G12" s="46"/>
      <c r="H12" s="46"/>
      <c r="I12" s="46"/>
      <c r="J12" s="27"/>
      <c r="K12" s="27"/>
      <c r="L12" s="27"/>
      <c r="M12" s="27"/>
      <c r="N12" s="27"/>
      <c r="O12" s="272">
        <f>IF(P11&gt;0,P12/P11,"")</f>
        <v>0.25</v>
      </c>
      <c r="P12" s="279">
        <f>75%*N23*J5*N23</f>
        <v>863.42152499999997</v>
      </c>
      <c r="Q12" s="334" t="s">
        <v>173</v>
      </c>
      <c r="R12" s="27"/>
      <c r="S12" s="27"/>
      <c r="T12" s="27"/>
    </row>
    <row r="13" spans="1:20">
      <c r="A13" s="27"/>
      <c r="B13" s="27"/>
      <c r="C13" s="27"/>
      <c r="D13" s="27"/>
      <c r="E13" s="46"/>
      <c r="F13" s="46"/>
      <c r="G13" s="46"/>
      <c r="H13" s="46"/>
      <c r="I13" s="4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>
      <c r="A14" s="27"/>
      <c r="B14" s="27"/>
      <c r="C14" s="27"/>
      <c r="D14" s="27"/>
      <c r="E14" s="27"/>
      <c r="F14" s="27"/>
      <c r="G14" s="47"/>
      <c r="H14" s="48"/>
      <c r="I14" s="27"/>
      <c r="J14" s="27"/>
      <c r="K14" s="27"/>
      <c r="L14" s="27"/>
      <c r="M14" s="27"/>
      <c r="N14" s="27"/>
      <c r="O14" s="274" t="s">
        <v>37</v>
      </c>
      <c r="P14" s="280"/>
      <c r="Q14" s="27"/>
      <c r="R14" s="27"/>
      <c r="S14" s="27"/>
      <c r="T14" s="27"/>
    </row>
    <row r="15" spans="1:20">
      <c r="A15" s="27"/>
      <c r="B15" s="27"/>
      <c r="C15" s="27"/>
      <c r="D15" s="27"/>
      <c r="E15" s="27"/>
      <c r="F15" s="27"/>
      <c r="G15" s="47"/>
      <c r="H15" s="49"/>
      <c r="I15" s="27"/>
      <c r="J15" s="27"/>
      <c r="K15" s="27"/>
      <c r="L15" s="27"/>
      <c r="M15" s="27"/>
      <c r="N15" s="27"/>
      <c r="O15" s="262"/>
      <c r="P15" s="263">
        <f>J4-P11</f>
        <v>7528.5425999999998</v>
      </c>
      <c r="Q15" s="333" t="s">
        <v>158</v>
      </c>
      <c r="R15" s="27"/>
      <c r="S15" s="27"/>
      <c r="T15" s="27"/>
    </row>
    <row r="16" spans="1:20">
      <c r="A16" s="27"/>
      <c r="B16" s="27"/>
      <c r="C16" s="27"/>
      <c r="D16" s="27"/>
      <c r="E16" s="27"/>
      <c r="F16" s="27"/>
      <c r="G16" s="47"/>
      <c r="H16" s="50"/>
      <c r="I16" s="27"/>
      <c r="J16" s="27"/>
      <c r="K16" s="27"/>
      <c r="L16" s="27"/>
      <c r="M16" s="27"/>
      <c r="N16" s="27"/>
      <c r="O16" s="281">
        <f>P16/P15</f>
        <v>3.8228803407448331E-2</v>
      </c>
      <c r="P16" s="282">
        <f>J5-P12</f>
        <v>287.80717499999992</v>
      </c>
      <c r="Q16" s="334" t="s">
        <v>173</v>
      </c>
      <c r="R16" s="27"/>
      <c r="S16" s="27"/>
      <c r="T16" s="27"/>
    </row>
    <row r="17" spans="1: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51"/>
      <c r="N17" s="27"/>
      <c r="O17" s="27"/>
      <c r="P17" s="27"/>
      <c r="Q17" s="27"/>
      <c r="R17" s="27"/>
      <c r="S17" s="27"/>
      <c r="T17" s="27"/>
    </row>
    <row r="18" spans="1:2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1">
      <c r="A19" s="27"/>
      <c r="B19" s="27"/>
      <c r="C19" s="27"/>
      <c r="D19" s="27"/>
      <c r="E19" s="27"/>
      <c r="F19" s="27"/>
      <c r="G19" s="295" t="s">
        <v>41</v>
      </c>
      <c r="H19" s="280"/>
      <c r="I19" s="27"/>
      <c r="J19" s="27"/>
      <c r="K19" s="295" t="s">
        <v>98</v>
      </c>
      <c r="L19" s="280"/>
      <c r="M19" s="27"/>
      <c r="N19" s="27"/>
      <c r="O19" s="27"/>
      <c r="P19" s="27"/>
      <c r="Q19" s="27"/>
      <c r="R19" s="27"/>
      <c r="S19" s="27"/>
      <c r="T19" s="27"/>
    </row>
    <row r="20" spans="1:21">
      <c r="A20" s="27"/>
      <c r="B20" s="27"/>
      <c r="C20" s="27"/>
      <c r="D20" s="27"/>
      <c r="E20" s="27"/>
      <c r="F20" s="27"/>
      <c r="G20" s="201" t="s">
        <v>177</v>
      </c>
      <c r="H20" s="261"/>
      <c r="I20" s="27"/>
      <c r="J20" s="27"/>
      <c r="K20" s="201" t="s">
        <v>177</v>
      </c>
      <c r="L20" s="261"/>
      <c r="M20" s="27"/>
      <c r="N20" s="27"/>
      <c r="O20" s="27"/>
      <c r="P20" s="27"/>
      <c r="Q20" s="27"/>
      <c r="R20" s="27"/>
      <c r="S20" s="27"/>
      <c r="T20" s="27"/>
    </row>
    <row r="21" spans="1:21">
      <c r="A21" s="27"/>
      <c r="B21" s="27"/>
      <c r="C21" s="27"/>
      <c r="D21" s="27"/>
      <c r="E21" s="27"/>
      <c r="F21" s="27"/>
      <c r="G21" s="300" t="s">
        <v>35</v>
      </c>
      <c r="H21" s="267">
        <f>0.074*H27+0.0012*G4</f>
        <v>200.56599999999997</v>
      </c>
      <c r="I21" s="27"/>
      <c r="J21" s="27"/>
      <c r="K21" s="299" t="s">
        <v>35</v>
      </c>
      <c r="L21" s="282">
        <f>0.016*J5*N23</f>
        <v>18.419659199999998</v>
      </c>
      <c r="M21" s="27"/>
      <c r="N21" s="27"/>
      <c r="O21" s="27"/>
      <c r="P21" s="27"/>
      <c r="Q21" s="27"/>
      <c r="R21" s="27"/>
      <c r="S21" s="27"/>
      <c r="T21" s="27"/>
    </row>
    <row r="22" spans="1:21" ht="13" thickBot="1">
      <c r="A22" s="27"/>
      <c r="B22" s="27"/>
      <c r="C22" s="27"/>
      <c r="D22" s="27"/>
      <c r="E22" s="27"/>
      <c r="F22" s="27"/>
      <c r="G22" s="299" t="s">
        <v>17</v>
      </c>
      <c r="H22" s="282">
        <f>0.031*G4</f>
        <v>365.8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4" thickBo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6"/>
      <c r="L23" s="6"/>
      <c r="M23" s="283" t="s">
        <v>103</v>
      </c>
      <c r="N23" s="159">
        <v>1</v>
      </c>
      <c r="O23" s="27"/>
      <c r="P23" s="27"/>
      <c r="Q23" s="27"/>
      <c r="R23" s="27"/>
      <c r="S23" s="27"/>
      <c r="T23" s="27"/>
    </row>
    <row r="24" spans="1:2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1">
      <c r="A25" s="27"/>
      <c r="B25" s="27"/>
      <c r="C25" s="27"/>
      <c r="D25" s="27"/>
      <c r="E25" s="27"/>
      <c r="F25" s="3" t="s">
        <v>160</v>
      </c>
      <c r="G25" s="3"/>
      <c r="H25" s="3"/>
      <c r="I25" s="3"/>
      <c r="J25" s="3"/>
      <c r="K25" s="27"/>
      <c r="L25" s="3" t="s">
        <v>19</v>
      </c>
      <c r="M25" s="3"/>
      <c r="N25" s="3"/>
      <c r="O25" s="3"/>
      <c r="P25" s="3"/>
      <c r="Q25" s="27"/>
      <c r="R25" s="27"/>
      <c r="S25" s="27"/>
      <c r="T25" s="27"/>
    </row>
    <row r="26" spans="1:21" ht="13">
      <c r="A26" s="27"/>
      <c r="B26" s="27"/>
      <c r="C26" s="27"/>
      <c r="D26" s="27"/>
      <c r="E26" s="27"/>
      <c r="F26" s="201"/>
      <c r="G26" s="335" t="s">
        <v>225</v>
      </c>
      <c r="H26" s="284">
        <f>MAX(30,H27/(G4/365))</f>
        <v>77.918220338983062</v>
      </c>
      <c r="I26" s="202" t="s">
        <v>150</v>
      </c>
      <c r="J26" s="336"/>
      <c r="K26" s="27"/>
      <c r="L26" s="201"/>
      <c r="M26" s="202"/>
      <c r="N26" s="335" t="s">
        <v>164</v>
      </c>
      <c r="O26" s="341">
        <v>6</v>
      </c>
      <c r="P26" s="288" t="s">
        <v>99</v>
      </c>
      <c r="Q26" s="27"/>
      <c r="R26" s="27"/>
      <c r="S26" s="27"/>
      <c r="T26" s="27"/>
    </row>
    <row r="27" spans="1:21" ht="13" thickBot="1">
      <c r="A27" s="27"/>
      <c r="B27" s="27"/>
      <c r="C27" s="27"/>
      <c r="D27" s="27"/>
      <c r="E27" s="27"/>
      <c r="F27" s="214"/>
      <c r="G27" s="337" t="s">
        <v>27</v>
      </c>
      <c r="H27" s="285">
        <f>ROUND(MAX(G6*1000/365/2,(G4/365)*30),-1)*1.1</f>
        <v>2519</v>
      </c>
      <c r="I27" s="17" t="s">
        <v>209</v>
      </c>
      <c r="J27" s="338"/>
      <c r="K27" s="27"/>
      <c r="L27" s="214"/>
      <c r="M27" s="17"/>
      <c r="N27" s="337" t="s">
        <v>100</v>
      </c>
      <c r="O27" s="285">
        <f>P15/12*O26</f>
        <v>3764.2713000000003</v>
      </c>
      <c r="P27" s="338" t="s">
        <v>209</v>
      </c>
      <c r="Q27" s="27"/>
      <c r="R27" s="27"/>
      <c r="S27" s="27"/>
      <c r="T27" s="27"/>
    </row>
    <row r="28" spans="1:21" ht="14" thickBot="1">
      <c r="A28" s="27"/>
      <c r="B28" s="27"/>
      <c r="C28" s="27"/>
      <c r="D28" s="27"/>
      <c r="E28" s="27"/>
      <c r="F28" s="290"/>
      <c r="G28" s="339" t="s">
        <v>80</v>
      </c>
      <c r="H28" s="286">
        <f>G6*1000/365/H27*1.1</f>
        <v>1.99866004665909</v>
      </c>
      <c r="I28" s="207" t="s">
        <v>215</v>
      </c>
      <c r="J28" s="340"/>
      <c r="K28" s="27"/>
      <c r="L28" s="214"/>
      <c r="M28" s="17"/>
      <c r="N28" s="337" t="s">
        <v>101</v>
      </c>
      <c r="O28" s="159">
        <v>0</v>
      </c>
      <c r="P28" s="338" t="s">
        <v>209</v>
      </c>
      <c r="Q28" s="27"/>
      <c r="R28" s="27"/>
      <c r="S28" s="27"/>
      <c r="T28" s="27"/>
    </row>
    <row r="29" spans="1:21">
      <c r="A29" s="27"/>
      <c r="B29" s="27"/>
      <c r="C29" s="27"/>
      <c r="D29" s="27"/>
      <c r="E29" s="27"/>
      <c r="F29" s="27"/>
      <c r="G29" s="27"/>
      <c r="H29" s="27"/>
      <c r="I29" s="27"/>
      <c r="J29" s="47"/>
      <c r="K29" s="27"/>
      <c r="L29" s="290"/>
      <c r="M29" s="207"/>
      <c r="N29" s="339" t="s">
        <v>102</v>
      </c>
      <c r="O29" s="287">
        <f>MAX(0,ROUND(O27-O28,-1))</f>
        <v>3760</v>
      </c>
      <c r="P29" s="291" t="s">
        <v>209</v>
      </c>
      <c r="Q29" s="27"/>
      <c r="R29" s="27"/>
      <c r="S29" s="27"/>
      <c r="T29" s="27"/>
    </row>
    <row r="30" spans="1:2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1" s="6" customForma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"/>
    </row>
    <row r="32" spans="1:2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5" t="s">
        <v>20</v>
      </c>
      <c r="N32" s="296"/>
      <c r="O32" s="297" t="s">
        <v>21</v>
      </c>
      <c r="P32" s="298" t="s">
        <v>22</v>
      </c>
      <c r="Q32" s="294" t="s">
        <v>25</v>
      </c>
      <c r="R32" s="27"/>
      <c r="S32" s="27"/>
      <c r="T32" s="27"/>
    </row>
    <row r="33" spans="1:20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01" t="s">
        <v>23</v>
      </c>
      <c r="N33" s="288" t="s">
        <v>158</v>
      </c>
      <c r="O33" s="18">
        <f>SUMPRODUCT(Gisement!C4:C7,Gisement!L4:L7)</f>
        <v>9500</v>
      </c>
      <c r="P33" s="265">
        <f>P15</f>
        <v>7528.5425999999998</v>
      </c>
      <c r="Q33" s="289">
        <f>P33-O33</f>
        <v>-1971.4574000000002</v>
      </c>
      <c r="R33" s="27"/>
      <c r="S33" s="27"/>
      <c r="T33" s="27"/>
    </row>
    <row r="34" spans="1:20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0" t="s">
        <v>24</v>
      </c>
      <c r="N34" s="291" t="s">
        <v>158</v>
      </c>
      <c r="O34" s="292">
        <f>SUMPRODUCT(Gisement!C9:C17,Gisement!L9:L17)</f>
        <v>500</v>
      </c>
      <c r="P34" s="271">
        <f>P11</f>
        <v>3453.6860999999999</v>
      </c>
      <c r="Q34" s="293">
        <f>P34-O34</f>
        <v>2953.6860999999999</v>
      </c>
      <c r="R34" s="27"/>
      <c r="S34" s="27"/>
      <c r="T34" s="27"/>
    </row>
    <row r="35" spans="1:20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0" t="s">
        <v>238</v>
      </c>
      <c r="N35" s="291" t="s">
        <v>158</v>
      </c>
      <c r="O35" s="292">
        <f>O33+O34</f>
        <v>10000</v>
      </c>
      <c r="P35" s="271">
        <f>P33+P34</f>
        <v>10982.2287</v>
      </c>
      <c r="Q35" s="294">
        <f>P35-O35</f>
        <v>982.22869999999966</v>
      </c>
      <c r="R35" s="27"/>
      <c r="S35" s="27"/>
      <c r="T35" s="27"/>
    </row>
    <row r="36" spans="1:20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1" spans="1:20">
      <c r="E41" s="2"/>
      <c r="F41" s="2"/>
    </row>
    <row r="42" spans="1:20">
      <c r="E42" s="2"/>
      <c r="F42" s="2"/>
    </row>
    <row r="43" spans="1:20">
      <c r="E43" s="2"/>
      <c r="F43" s="2"/>
    </row>
    <row r="44" spans="1:20">
      <c r="E44" s="2"/>
      <c r="F44" s="2"/>
    </row>
    <row r="45" spans="1:20">
      <c r="E45" s="2"/>
      <c r="F45" s="2"/>
    </row>
    <row r="46" spans="1:20">
      <c r="E46" s="2"/>
      <c r="F46" s="2"/>
    </row>
    <row r="47" spans="1:20">
      <c r="E47" s="2"/>
      <c r="F47" s="2"/>
    </row>
  </sheetData>
  <sheetProtection password="CC26" sheet="1" objects="1" scenarios="1"/>
  <customSheetViews>
    <customSheetView guid="{59F82281-7419-11DB-A87A-FCB3BF190000}" showRuler="0">
      <selection activeCell="N22" sqref="N22"/>
      <pageSetup paperSize="9" orientation="portrait" horizontalDpi="4294967292" verticalDpi="4294967292"/>
    </customSheetView>
    <customSheetView guid="{59F82282-7419-11DB-A87A-FCB3BF190000}" showRuler="0">
      <selection activeCell="N22" sqref="N22"/>
      <pageSetup paperSize="9" orientation="portrait" horizontalDpi="4294967292" verticalDpi="4294967292"/>
    </customSheetView>
  </customSheetViews>
  <phoneticPr fontId="6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showGridLines="0" showRuler="0" topLeftCell="A7" workbookViewId="0">
      <selection activeCell="E22" sqref="E22"/>
    </sheetView>
  </sheetViews>
  <sheetFormatPr baseColWidth="10" defaultColWidth="8.83203125" defaultRowHeight="12" x14ac:dyDescent="0"/>
  <cols>
    <col min="1" max="1" width="3" style="9" customWidth="1"/>
    <col min="2" max="2" width="44.83203125" style="35" customWidth="1"/>
    <col min="3" max="3" width="17" style="35" customWidth="1"/>
    <col min="4" max="4" width="3.1640625" style="35" customWidth="1"/>
    <col min="5" max="5" width="29.33203125" style="54" customWidth="1"/>
    <col min="6" max="6" width="5.5" style="19" customWidth="1"/>
    <col min="7" max="7" width="8.83203125" style="35"/>
    <col min="8" max="8" width="21.1640625" style="35" customWidth="1"/>
    <col min="9" max="16384" width="8.83203125" style="35"/>
  </cols>
  <sheetData>
    <row r="1" spans="1:8" s="30" customFormat="1">
      <c r="A1" s="23"/>
      <c r="B1" s="28"/>
      <c r="C1" s="28"/>
      <c r="D1" s="28"/>
      <c r="E1" s="53"/>
      <c r="F1" s="27"/>
    </row>
    <row r="2" spans="1:8" s="34" customFormat="1" ht="15">
      <c r="A2" s="25"/>
      <c r="B2" s="31" t="s">
        <v>2</v>
      </c>
      <c r="C2" s="32"/>
      <c r="D2" s="32"/>
      <c r="E2" s="33"/>
      <c r="F2" s="27"/>
    </row>
    <row r="3" spans="1:8" s="19" customFormat="1">
      <c r="A3" s="80"/>
      <c r="B3" s="171" t="s">
        <v>3</v>
      </c>
      <c r="C3" s="172" t="s">
        <v>91</v>
      </c>
      <c r="D3" s="27"/>
      <c r="E3" s="319">
        <f>Gisement!J46</f>
        <v>392885.95</v>
      </c>
      <c r="F3" s="27"/>
    </row>
    <row r="4" spans="1:8" s="19" customFormat="1" ht="13" thickBot="1">
      <c r="A4" s="80"/>
      <c r="B4" s="171" t="s">
        <v>39</v>
      </c>
      <c r="C4" s="173" t="s">
        <v>221</v>
      </c>
      <c r="D4" s="27"/>
      <c r="E4" s="319">
        <f>9.95*E3/1000</f>
        <v>3909.2152024999996</v>
      </c>
      <c r="F4" s="27"/>
    </row>
    <row r="5" spans="1:8" s="54" customFormat="1" ht="17" customHeight="1" thickBot="1">
      <c r="A5" s="24"/>
      <c r="B5" s="394" t="s">
        <v>289</v>
      </c>
      <c r="C5" s="325">
        <v>3</v>
      </c>
      <c r="D5" s="26"/>
      <c r="E5" s="319" t="str">
        <f>IF(C5=1,"MOTEUR DUAL FUEL",IF(C5=2,"MOTEUR A GAZ",IF(C5=3,"Epuration","?????")))</f>
        <v>Epuration</v>
      </c>
      <c r="F5" s="27"/>
      <c r="H5" s="367"/>
    </row>
    <row r="6" spans="1:8" s="19" customFormat="1" ht="13">
      <c r="A6" s="80"/>
      <c r="B6" s="393" t="s">
        <v>254</v>
      </c>
      <c r="C6" s="369"/>
      <c r="D6" s="369"/>
      <c r="E6" s="369"/>
      <c r="F6" s="27"/>
    </row>
    <row r="7" spans="1:8" s="19" customFormat="1">
      <c r="A7" s="80"/>
      <c r="B7" s="171" t="s">
        <v>38</v>
      </c>
      <c r="C7" s="174" t="s">
        <v>221</v>
      </c>
      <c r="D7" s="27"/>
      <c r="E7" s="319">
        <f>IF(C5=1,5%*E4,0)</f>
        <v>0</v>
      </c>
      <c r="F7" s="27"/>
    </row>
    <row r="8" spans="1:8" s="54" customFormat="1">
      <c r="A8" s="24"/>
      <c r="B8" s="171" t="s">
        <v>179</v>
      </c>
      <c r="C8" s="173" t="s">
        <v>180</v>
      </c>
      <c r="D8" s="26"/>
      <c r="E8" s="320">
        <f>MIN(41%,MAX(33%,0.41-0.2*EXP(-0.8*E4/1000)))*IF(C5=1,1,IF(C5=2,0.87,IF(C5=3,0,"?????")))</f>
        <v>0</v>
      </c>
      <c r="F8" s="27"/>
    </row>
    <row r="9" spans="1:8" s="19" customFormat="1">
      <c r="A9" s="80"/>
      <c r="B9" s="175" t="s">
        <v>68</v>
      </c>
      <c r="C9" s="318" t="s">
        <v>234</v>
      </c>
      <c r="D9" s="27"/>
      <c r="E9" s="319">
        <f>(E4+E7)*$E$8/8.76*IF(C5&lt;&gt;3,1,0)</f>
        <v>0</v>
      </c>
      <c r="F9" s="27"/>
    </row>
    <row r="10" spans="1:8" s="19" customFormat="1">
      <c r="A10" s="80"/>
      <c r="B10" s="175" t="s">
        <v>69</v>
      </c>
      <c r="C10" s="318" t="s">
        <v>234</v>
      </c>
      <c r="D10" s="27"/>
      <c r="E10" s="319">
        <f>E9*1.15*IF(C5&lt;&gt;3,1,0)</f>
        <v>0</v>
      </c>
      <c r="F10" s="27"/>
    </row>
    <row r="11" spans="1:8" s="19" customFormat="1">
      <c r="A11" s="80"/>
      <c r="B11" s="176" t="s">
        <v>57</v>
      </c>
      <c r="C11" s="176" t="s">
        <v>221</v>
      </c>
      <c r="D11" s="27"/>
      <c r="E11" s="319">
        <f>MIN($E$10*8.76,$E$8*(E4+E7))*IF(C5&lt;&gt;3,1,0)</f>
        <v>0</v>
      </c>
      <c r="F11" s="27"/>
    </row>
    <row r="12" spans="1:8" s="19" customFormat="1">
      <c r="A12" s="80"/>
      <c r="B12" s="173" t="s">
        <v>156</v>
      </c>
      <c r="C12" s="176" t="s">
        <v>221</v>
      </c>
      <c r="D12" s="27"/>
      <c r="E12" s="319">
        <f>IF(C5&lt;&gt;3,E11/$E$8*(85%-$E$8),0)</f>
        <v>0</v>
      </c>
      <c r="F12" s="27"/>
    </row>
    <row r="13" spans="1:8" s="19" customFormat="1" ht="14" thickBot="1">
      <c r="A13" s="80"/>
      <c r="B13" s="393" t="s">
        <v>255</v>
      </c>
      <c r="C13" s="369"/>
      <c r="D13" s="369"/>
      <c r="E13" s="369"/>
      <c r="F13" s="27"/>
    </row>
    <row r="14" spans="1:8" s="54" customFormat="1" ht="17" customHeight="1" thickBot="1">
      <c r="A14" s="24"/>
      <c r="B14" s="394" t="s">
        <v>291</v>
      </c>
      <c r="C14" s="325">
        <v>1</v>
      </c>
      <c r="D14" s="26"/>
      <c r="E14" s="319" t="str">
        <f>IF(C14=1,"Distribution",IF(C14=2,"Transport","?????"))</f>
        <v>Distribution</v>
      </c>
      <c r="F14" s="27"/>
      <c r="H14" s="367"/>
    </row>
    <row r="15" spans="1:8" s="1" customFormat="1">
      <c r="A15" s="80"/>
      <c r="B15" s="171" t="s">
        <v>250</v>
      </c>
      <c r="C15" s="174" t="s">
        <v>249</v>
      </c>
      <c r="D15" s="27"/>
      <c r="E15" s="319">
        <f>IF(C5=3,E4-Matiere!H22,0)</f>
        <v>3543.4152024999994</v>
      </c>
      <c r="F15" s="27"/>
    </row>
    <row r="16" spans="1:8" s="34" customFormat="1" ht="13">
      <c r="A16" s="24"/>
      <c r="B16" s="171" t="s">
        <v>247</v>
      </c>
      <c r="C16" s="174" t="s">
        <v>249</v>
      </c>
      <c r="D16" s="27"/>
      <c r="E16" s="370">
        <v>0.98</v>
      </c>
      <c r="F16" s="27"/>
    </row>
    <row r="17" spans="1:6" s="19" customFormat="1" ht="13">
      <c r="A17" s="80"/>
      <c r="B17" s="171" t="s">
        <v>284</v>
      </c>
      <c r="C17" s="174" t="s">
        <v>249</v>
      </c>
      <c r="D17" s="27"/>
      <c r="E17" s="370">
        <v>0.97</v>
      </c>
      <c r="F17" s="27"/>
    </row>
    <row r="18" spans="1:6" s="19" customFormat="1" ht="13">
      <c r="A18" s="80"/>
      <c r="B18" s="171" t="s">
        <v>285</v>
      </c>
      <c r="C18" s="174" t="s">
        <v>249</v>
      </c>
      <c r="D18" s="27"/>
      <c r="E18" s="370">
        <v>0.95</v>
      </c>
      <c r="F18" s="27"/>
    </row>
    <row r="19" spans="1:6" s="19" customFormat="1">
      <c r="A19" s="80"/>
      <c r="B19" s="171" t="s">
        <v>251</v>
      </c>
      <c r="C19" s="174" t="s">
        <v>249</v>
      </c>
      <c r="D19" s="27"/>
      <c r="E19" s="319">
        <f>IF(C5=3,E15*E16*E17*E18,0)</f>
        <v>3199.9519669216743</v>
      </c>
      <c r="F19" s="27"/>
    </row>
    <row r="20" spans="1:6" s="19" customFormat="1" ht="13">
      <c r="A20" s="80"/>
      <c r="B20" s="171" t="s">
        <v>252</v>
      </c>
      <c r="C20" s="174" t="s">
        <v>249</v>
      </c>
      <c r="D20" s="27"/>
      <c r="E20" s="160">
        <v>50</v>
      </c>
      <c r="F20" s="27"/>
    </row>
    <row r="21" spans="1:6" s="19" customFormat="1">
      <c r="A21" s="80"/>
      <c r="B21" s="171" t="s">
        <v>248</v>
      </c>
      <c r="C21" s="174" t="s">
        <v>249</v>
      </c>
      <c r="D21" s="27"/>
      <c r="E21" s="319">
        <f>IF(C5=3,IF(E19-E20&lt;0,0,E19-E20),0)</f>
        <v>3149.9519669216743</v>
      </c>
      <c r="F21" s="27"/>
    </row>
    <row r="22" spans="1:6" s="19" customFormat="1">
      <c r="A22" s="80"/>
      <c r="B22" s="371" t="s">
        <v>257</v>
      </c>
      <c r="C22" s="310" t="s">
        <v>258</v>
      </c>
      <c r="D22" s="27"/>
      <c r="E22" s="368">
        <f>IF(C5=3,E21/(8760*E17*E18)/(9.95)/96.5%*1000,0)</f>
        <v>40.640036707426283</v>
      </c>
      <c r="F22" s="27"/>
    </row>
    <row r="23" spans="1:6" s="19" customFormat="1" ht="13" customHeight="1">
      <c r="A23" s="80"/>
      <c r="B23" s="27"/>
      <c r="C23" s="27"/>
      <c r="D23" s="27"/>
      <c r="E23" s="392"/>
      <c r="F23" s="27"/>
    </row>
    <row r="24" spans="1:6" s="19" customFormat="1" ht="15">
      <c r="A24" s="80"/>
      <c r="B24" s="31" t="s">
        <v>4</v>
      </c>
      <c r="C24" s="32"/>
      <c r="D24" s="32"/>
      <c r="E24" s="33"/>
      <c r="F24" s="27"/>
    </row>
    <row r="25" spans="1:6" s="19" customFormat="1">
      <c r="A25" s="80"/>
      <c r="B25" s="176" t="s">
        <v>204</v>
      </c>
      <c r="C25" s="176" t="s">
        <v>221</v>
      </c>
      <c r="D25" s="27"/>
      <c r="E25" s="319">
        <f>Matiere!H22</f>
        <v>365.8</v>
      </c>
      <c r="F25" s="27"/>
    </row>
    <row r="26" spans="1:6" s="19" customFormat="1">
      <c r="A26" s="81"/>
      <c r="B26" s="39"/>
      <c r="C26" s="39"/>
      <c r="D26" s="39"/>
      <c r="E26" s="39"/>
      <c r="F26" s="27"/>
    </row>
    <row r="27" spans="1:6" s="34" customFormat="1" ht="13">
      <c r="A27" s="24"/>
      <c r="B27" s="176" t="s">
        <v>127</v>
      </c>
      <c r="C27" s="176" t="s">
        <v>221</v>
      </c>
      <c r="D27" s="27"/>
      <c r="E27" s="160"/>
      <c r="F27" s="27"/>
    </row>
    <row r="28" spans="1:6" s="19" customFormat="1" ht="13">
      <c r="A28" s="80"/>
      <c r="B28" s="176" t="s">
        <v>128</v>
      </c>
      <c r="C28" s="176" t="s">
        <v>221</v>
      </c>
      <c r="D28" s="27"/>
      <c r="E28" s="160"/>
      <c r="F28" s="27"/>
    </row>
    <row r="29" spans="1:6" s="19" customFormat="1" ht="13">
      <c r="A29" s="80"/>
      <c r="B29" s="176" t="s">
        <v>83</v>
      </c>
      <c r="C29" s="176" t="s">
        <v>221</v>
      </c>
      <c r="D29" s="27"/>
      <c r="E29" s="160"/>
      <c r="F29" s="27"/>
    </row>
    <row r="30" spans="1:6" s="19" customFormat="1">
      <c r="A30" s="81"/>
      <c r="B30" s="176" t="s">
        <v>238</v>
      </c>
      <c r="C30" s="176" t="s">
        <v>221</v>
      </c>
      <c r="D30" s="27"/>
      <c r="E30" s="319">
        <f>SUM(E27:E29)</f>
        <v>0</v>
      </c>
      <c r="F30" s="27"/>
    </row>
    <row r="31" spans="1:6" s="40" customFormat="1">
      <c r="A31" s="27"/>
      <c r="B31" s="38"/>
      <c r="C31" s="38"/>
      <c r="D31" s="27"/>
      <c r="E31" s="38"/>
      <c r="F31" s="27"/>
    </row>
    <row r="32" spans="1:6" s="19" customFormat="1" ht="15">
      <c r="A32" s="80"/>
      <c r="B32" s="31" t="s">
        <v>290</v>
      </c>
      <c r="C32" s="32"/>
      <c r="D32" s="32"/>
      <c r="E32" s="33"/>
      <c r="F32" s="27"/>
    </row>
    <row r="33" spans="1:8" s="19" customFormat="1">
      <c r="A33" s="80"/>
      <c r="B33" s="177" t="s">
        <v>203</v>
      </c>
      <c r="C33" s="176" t="s">
        <v>221</v>
      </c>
      <c r="D33" s="27"/>
      <c r="E33" s="319">
        <f>MAX(0,E12-E25)</f>
        <v>0</v>
      </c>
      <c r="F33" s="27"/>
    </row>
    <row r="34" spans="1:8" s="34" customFormat="1">
      <c r="A34" s="24"/>
      <c r="B34" s="177" t="s">
        <v>123</v>
      </c>
      <c r="C34" s="176" t="s">
        <v>221</v>
      </c>
      <c r="D34" s="27"/>
      <c r="E34" s="319">
        <f>IF(E33&gt;E30,E30,E33)</f>
        <v>0</v>
      </c>
      <c r="F34" s="27"/>
    </row>
    <row r="35" spans="1:8" s="19" customFormat="1">
      <c r="A35" s="80"/>
      <c r="B35" s="173" t="s">
        <v>210</v>
      </c>
      <c r="C35" s="173"/>
      <c r="D35" s="27"/>
      <c r="E35" s="320">
        <f>(E11+E25+E34)/0.97/E4</f>
        <v>9.6467803005750682E-2</v>
      </c>
      <c r="F35" s="27"/>
    </row>
    <row r="36" spans="1:8" s="19" customFormat="1">
      <c r="A36" s="80"/>
      <c r="B36" s="177" t="s">
        <v>149</v>
      </c>
      <c r="C36" s="176" t="s">
        <v>221</v>
      </c>
      <c r="D36" s="27"/>
      <c r="E36" s="319">
        <f>IF(E33&lt;E30,E30-E33,0)</f>
        <v>0</v>
      </c>
      <c r="F36" s="27"/>
    </row>
    <row r="37" spans="1:8" s="19" customFormat="1">
      <c r="A37" s="80"/>
      <c r="B37" s="177" t="s">
        <v>174</v>
      </c>
      <c r="C37" s="176" t="s">
        <v>221</v>
      </c>
      <c r="D37" s="27"/>
      <c r="E37" s="319">
        <f>E33-E34</f>
        <v>0</v>
      </c>
      <c r="F37" s="27"/>
    </row>
    <row r="38" spans="1:8" s="19" customFormat="1">
      <c r="A38" s="80"/>
      <c r="B38" s="41"/>
      <c r="C38" s="38"/>
      <c r="D38" s="27"/>
      <c r="E38" s="38"/>
      <c r="F38" s="27"/>
    </row>
    <row r="39" spans="1:8" s="19" customFormat="1" ht="15">
      <c r="A39" s="80"/>
      <c r="B39" s="31" t="s">
        <v>154</v>
      </c>
      <c r="C39" s="32"/>
      <c r="D39" s="32"/>
      <c r="E39" s="33" t="s">
        <v>297</v>
      </c>
      <c r="F39" s="27"/>
    </row>
    <row r="40" spans="1:8" s="19" customFormat="1">
      <c r="A40" s="80"/>
      <c r="B40" s="173" t="s">
        <v>155</v>
      </c>
      <c r="C40" s="178" t="s">
        <v>129</v>
      </c>
      <c r="D40" s="27"/>
      <c r="E40" s="165">
        <f>IF(P_Elec&lt;=B51,C51,IF(AND(P_Elec&gt;B51,P_Elec&lt;=B52),C51-(C51-C52)/(B51-B52)*(B51-P_Elec),IF(AND(P_Elec&gt;B52,P_Elec&lt;=B53),C52-(C52-C53)/(B52-B53)*(B52-P_Elec),IF(AND(P_Elec&gt;B53,P_Elec&lt;=B54),C53-(C53-C54)/(B53-B54)*(B53-P_Elec),IF(AND(P_Elec&gt;B54,P_Elec&lt;B55),C54-(C54-C55)/(B54-B55)*(B54-P_Elec),IF(P_Elec&gt;=B55,C55))))))</f>
        <v>135</v>
      </c>
      <c r="F40" s="27"/>
    </row>
    <row r="41" spans="1:8" s="19" customFormat="1">
      <c r="A41" s="80"/>
      <c r="B41" s="173" t="s">
        <v>178</v>
      </c>
      <c r="C41" s="178" t="s">
        <v>129</v>
      </c>
      <c r="D41" s="27"/>
      <c r="E41" s="165">
        <f>IF(E60&lt;=B59,C59,IF(AND(E60&gt;B59,E60&lt;B60),(C60-C59)/(B60-B59)*(E60-B59),IF(E60&gt;=B60,C60)))</f>
        <v>0</v>
      </c>
      <c r="F41" s="27"/>
    </row>
    <row r="42" spans="1:8" s="19" customFormat="1">
      <c r="A42" s="80"/>
      <c r="B42" s="173" t="s">
        <v>44</v>
      </c>
      <c r="C42" s="178" t="s">
        <v>129</v>
      </c>
      <c r="D42" s="27"/>
      <c r="E42" s="165">
        <f>C70</f>
        <v>26</v>
      </c>
      <c r="F42" s="27"/>
    </row>
    <row r="43" spans="1:8" s="1" customFormat="1">
      <c r="A43" s="80"/>
      <c r="B43" s="173" t="s">
        <v>238</v>
      </c>
      <c r="C43" s="321" t="s">
        <v>129</v>
      </c>
      <c r="D43" s="27"/>
      <c r="E43" s="319">
        <f>E40+E41+E42</f>
        <v>161</v>
      </c>
      <c r="F43" s="27"/>
      <c r="H43" s="19"/>
    </row>
    <row r="44" spans="1:8" s="1" customFormat="1">
      <c r="A44" s="80"/>
      <c r="B44" s="41"/>
      <c r="C44" s="38"/>
      <c r="D44" s="27"/>
      <c r="E44" s="38"/>
      <c r="F44" s="27"/>
      <c r="H44" s="19"/>
    </row>
    <row r="45" spans="1:8" s="1" customFormat="1">
      <c r="A45" s="80"/>
      <c r="B45" s="173" t="s">
        <v>271</v>
      </c>
      <c r="C45" s="178"/>
      <c r="D45" s="27"/>
      <c r="E45" s="390">
        <v>1.0653300000000001</v>
      </c>
      <c r="F45" s="27"/>
      <c r="H45" s="19"/>
    </row>
    <row r="46" spans="1:8" s="1" customFormat="1">
      <c r="A46" s="80"/>
      <c r="B46" s="173" t="s">
        <v>302</v>
      </c>
      <c r="C46" s="321" t="s">
        <v>129</v>
      </c>
      <c r="D46" s="27"/>
      <c r="E46" s="165">
        <f>E45*Prix_elec</f>
        <v>171.51813000000001</v>
      </c>
      <c r="F46" s="27"/>
      <c r="H46" s="19"/>
    </row>
    <row r="47" spans="1:8" s="1" customFormat="1">
      <c r="A47" s="80"/>
      <c r="B47" s="41"/>
      <c r="C47" s="38"/>
      <c r="D47" s="27"/>
      <c r="E47" s="38"/>
      <c r="F47" s="27"/>
      <c r="H47" s="19"/>
    </row>
    <row r="48" spans="1:8" s="1" customFormat="1" ht="13">
      <c r="A48" s="80"/>
      <c r="B48" s="354" t="s">
        <v>43</v>
      </c>
      <c r="C48" s="38"/>
      <c r="D48" s="27"/>
      <c r="E48" s="38"/>
      <c r="F48" s="27"/>
    </row>
    <row r="49" spans="1:6" s="19" customFormat="1">
      <c r="A49" s="81"/>
      <c r="B49" s="166" t="s">
        <v>234</v>
      </c>
      <c r="C49" s="167" t="s">
        <v>89</v>
      </c>
      <c r="D49" s="27"/>
      <c r="E49" s="38"/>
      <c r="F49" s="27"/>
    </row>
    <row r="50" spans="1:6" s="19" customFormat="1">
      <c r="A50" s="80"/>
      <c r="B50" s="42">
        <v>0</v>
      </c>
      <c r="C50" s="168">
        <v>135</v>
      </c>
      <c r="D50" s="27"/>
      <c r="E50" s="38"/>
      <c r="F50" s="27"/>
    </row>
    <row r="51" spans="1:6" s="19" customFormat="1">
      <c r="A51" s="81"/>
      <c r="B51" s="42">
        <v>150</v>
      </c>
      <c r="C51" s="169">
        <v>135</v>
      </c>
      <c r="D51" s="27"/>
      <c r="E51" s="38"/>
      <c r="F51" s="27"/>
    </row>
    <row r="52" spans="1:6" s="19" customFormat="1">
      <c r="A52" s="81"/>
      <c r="B52" s="42">
        <v>300</v>
      </c>
      <c r="C52" s="169">
        <v>128</v>
      </c>
      <c r="D52" s="27"/>
      <c r="E52" s="38"/>
      <c r="F52" s="27"/>
    </row>
    <row r="53" spans="1:6" s="19" customFormat="1">
      <c r="A53" s="81"/>
      <c r="B53" s="42">
        <v>500</v>
      </c>
      <c r="C53" s="169">
        <v>123</v>
      </c>
      <c r="D53" s="27"/>
      <c r="E53" s="38"/>
      <c r="F53" s="27"/>
    </row>
    <row r="54" spans="1:6" s="19" customFormat="1">
      <c r="A54" s="80"/>
      <c r="B54" s="42">
        <v>1000</v>
      </c>
      <c r="C54" s="169">
        <v>118</v>
      </c>
      <c r="D54" s="27"/>
      <c r="E54" s="27"/>
      <c r="F54" s="27"/>
    </row>
    <row r="55" spans="1:6" s="19" customFormat="1">
      <c r="A55" s="27"/>
      <c r="B55" s="43">
        <v>2000</v>
      </c>
      <c r="C55" s="170">
        <v>113</v>
      </c>
      <c r="D55" s="27"/>
      <c r="E55" s="38"/>
      <c r="F55" s="38"/>
    </row>
    <row r="56" spans="1:6" s="19" customFormat="1">
      <c r="A56" s="27"/>
      <c r="B56" s="38"/>
      <c r="C56" s="38"/>
      <c r="D56" s="38"/>
      <c r="E56" s="38"/>
      <c r="F56" s="38"/>
    </row>
    <row r="57" spans="1:6" s="19" customFormat="1" ht="13">
      <c r="A57" s="27"/>
      <c r="B57" s="354" t="s">
        <v>178</v>
      </c>
      <c r="C57" s="38"/>
      <c r="D57" s="38"/>
      <c r="E57" s="38"/>
      <c r="F57" s="38"/>
    </row>
    <row r="58" spans="1:6" s="19" customFormat="1">
      <c r="A58" s="27"/>
      <c r="B58" s="44" t="s">
        <v>210</v>
      </c>
      <c r="C58" s="167" t="s">
        <v>89</v>
      </c>
      <c r="D58" s="27"/>
      <c r="E58" s="38"/>
      <c r="F58" s="38"/>
    </row>
    <row r="59" spans="1:6" s="19" customFormat="1">
      <c r="A59" s="27"/>
      <c r="B59" s="347">
        <v>0.35</v>
      </c>
      <c r="C59" s="349">
        <v>0</v>
      </c>
      <c r="D59" s="27"/>
      <c r="E59" s="363" t="s">
        <v>46</v>
      </c>
      <c r="F59" s="38"/>
    </row>
    <row r="60" spans="1:6" s="19" customFormat="1">
      <c r="A60" s="27"/>
      <c r="B60" s="348">
        <v>0.75</v>
      </c>
      <c r="C60" s="350">
        <v>40</v>
      </c>
      <c r="D60" s="27"/>
      <c r="E60" s="364">
        <f>(Electricite+Chaleur)/(E4*99%*97%)</f>
        <v>0</v>
      </c>
      <c r="F60" s="38"/>
    </row>
    <row r="61" spans="1:6" s="19" customFormat="1">
      <c r="A61" s="27"/>
      <c r="B61" s="352"/>
      <c r="C61" s="353"/>
      <c r="D61" s="27"/>
      <c r="E61" s="351"/>
      <c r="F61" s="38"/>
    </row>
    <row r="62" spans="1:6" s="19" customFormat="1" ht="13">
      <c r="A62" s="27"/>
      <c r="B62" s="355" t="s">
        <v>42</v>
      </c>
      <c r="C62" s="167" t="s">
        <v>89</v>
      </c>
      <c r="D62" s="27"/>
      <c r="E62" s="351"/>
      <c r="F62" s="38"/>
    </row>
    <row r="63" spans="1:6" s="19" customFormat="1">
      <c r="A63" s="27"/>
      <c r="B63" s="356">
        <v>150</v>
      </c>
      <c r="C63" s="168">
        <v>26</v>
      </c>
      <c r="D63" s="27"/>
      <c r="E63" s="351"/>
      <c r="F63" s="38"/>
    </row>
    <row r="64" spans="1:6" s="19" customFormat="1">
      <c r="A64" s="27"/>
      <c r="B64" s="357">
        <v>300</v>
      </c>
      <c r="C64" s="169">
        <v>15</v>
      </c>
      <c r="D64" s="27"/>
      <c r="E64" s="351"/>
      <c r="F64" s="38"/>
    </row>
    <row r="65" spans="1:6" s="19" customFormat="1">
      <c r="A65" s="27"/>
      <c r="B65" s="357">
        <v>500</v>
      </c>
      <c r="C65" s="169">
        <v>9</v>
      </c>
      <c r="D65" s="27"/>
      <c r="E65" s="351"/>
      <c r="F65" s="38"/>
    </row>
    <row r="66" spans="1:6" s="19" customFormat="1">
      <c r="A66" s="27"/>
      <c r="B66" s="358">
        <v>1000</v>
      </c>
      <c r="C66" s="169">
        <v>0</v>
      </c>
      <c r="D66" s="27"/>
      <c r="E66" s="351"/>
      <c r="F66" s="38"/>
    </row>
    <row r="67" spans="1:6" s="19" customFormat="1">
      <c r="A67" s="27"/>
      <c r="B67" s="43"/>
      <c r="C67" s="359">
        <f>IF(P_Elec&lt;=B63,C63,IF(AND(P_Elec&gt;B63,P_Elec&lt;=B64),C63-(C63-C64)/(B63-B64)*(B63-P_Elec),IF(AND(P_Elec&gt;B64,P_Elec&lt;=B65),C64-(C64-C65)/(B64-B65)*(B64-P_Elec),IF(AND(P_Elec&gt;B65,P_Elec&lt;B66),C65-(C65-C66)/(B65-B66)*(B65-P_Elec),IF(P_Elec&gt;=B66,C66)))))</f>
        <v>26</v>
      </c>
      <c r="D67" s="27"/>
      <c r="E67" s="351"/>
      <c r="F67" s="38"/>
    </row>
    <row r="68" spans="1:6" s="19" customFormat="1">
      <c r="A68" s="80"/>
      <c r="B68" s="360">
        <v>0.2</v>
      </c>
      <c r="C68" s="361">
        <v>0</v>
      </c>
      <c r="D68" s="27"/>
      <c r="E68" s="351"/>
      <c r="F68" s="38"/>
    </row>
    <row r="69" spans="1:6" s="19" customFormat="1">
      <c r="A69" s="80"/>
      <c r="B69" s="362">
        <v>0.6</v>
      </c>
      <c r="C69" s="350">
        <f>C67</f>
        <v>26</v>
      </c>
      <c r="D69" s="27"/>
      <c r="E69" s="351"/>
      <c r="F69" s="38"/>
    </row>
    <row r="70" spans="1:6" s="19" customFormat="1">
      <c r="A70" s="80"/>
      <c r="B70" s="352"/>
      <c r="C70" s="359">
        <f>IF(C72&lt;=B68,C68,IF(AND(C72&gt;B68,C72&lt;B69),(C69-C68)/(B69-B68)*(C72-B68),IF(C72&gt;=B69,C69)))</f>
        <v>26</v>
      </c>
      <c r="D70" s="27"/>
      <c r="E70" s="351"/>
      <c r="F70" s="38"/>
    </row>
    <row r="71" spans="1:6">
      <c r="A71" s="80"/>
      <c r="B71" s="352"/>
      <c r="C71" s="19"/>
      <c r="D71" s="27"/>
      <c r="E71" s="351"/>
      <c r="F71" s="38"/>
    </row>
    <row r="72" spans="1:6">
      <c r="A72" s="80"/>
      <c r="B72" s="365" t="s">
        <v>45</v>
      </c>
      <c r="C72" s="366">
        <f>SUM(Gisement!C4:C17)/SUM(Gisement!C4:C37)</f>
        <v>0.84745762711864403</v>
      </c>
      <c r="D72" s="27"/>
      <c r="E72" s="351"/>
      <c r="F72" s="38"/>
    </row>
    <row r="73" spans="1:6">
      <c r="A73" s="80"/>
      <c r="B73" s="38"/>
      <c r="C73" s="38"/>
      <c r="D73" s="27"/>
      <c r="E73" s="38"/>
      <c r="F73" s="38"/>
    </row>
    <row r="74" spans="1:6" ht="18" customHeight="1">
      <c r="A74" s="80"/>
      <c r="B74" s="31" t="s">
        <v>253</v>
      </c>
      <c r="C74" s="32"/>
      <c r="D74" s="32"/>
      <c r="E74" s="33" t="s">
        <v>297</v>
      </c>
      <c r="F74" s="38"/>
    </row>
    <row r="75" spans="1:6" ht="14" customHeight="1">
      <c r="A75" s="80"/>
      <c r="B75" s="391" t="s">
        <v>281</v>
      </c>
      <c r="C75" s="38"/>
      <c r="D75" s="27"/>
      <c r="E75" s="38"/>
      <c r="F75" s="38"/>
    </row>
    <row r="76" spans="1:6">
      <c r="A76" s="80"/>
      <c r="B76" s="173" t="s">
        <v>269</v>
      </c>
      <c r="C76" s="178" t="s">
        <v>258</v>
      </c>
      <c r="D76" s="27"/>
      <c r="E76" s="165">
        <f>IF(P_Elec&lt;=B93,C93,IF(AND(P_Elec&gt;B93,P_Elec&lt;=B94),C93-(C93-C94)/(B93-B94)*(B93-P_Elec),IF(AND(P_Elec&gt;B94,P_Elec&lt;=B95),C94-(C94-C95)/(B94-B95)*(B94-P_Elec),IF(AND(P_Elec&gt;B95,P_Elec&lt;=B96),C95-(C95-C96)/(B95-B96)*(B95-P_Elec),IF(AND(P_Elec&gt;B96,P_Elec&lt;B97),C96-(C96-C97)/(B96-B97)*(B96-P_Elec),IF(P_Elec&gt;=B97,C97))))))</f>
        <v>86.5</v>
      </c>
      <c r="F76" s="38"/>
    </row>
    <row r="77" spans="1:6">
      <c r="A77" s="80"/>
      <c r="B77" s="173" t="s">
        <v>259</v>
      </c>
      <c r="C77" s="178" t="s">
        <v>180</v>
      </c>
      <c r="D77" s="27"/>
      <c r="E77" s="385">
        <f>(SUM(Gisement!C4:C27,Gisement!C32:C37)-Gisement!C24)/Matieres_entrantes</f>
        <v>0.9576271186440678</v>
      </c>
      <c r="F77" s="38"/>
    </row>
    <row r="78" spans="1:6">
      <c r="A78" s="80"/>
      <c r="B78" s="173" t="s">
        <v>260</v>
      </c>
      <c r="C78" s="178" t="s">
        <v>180</v>
      </c>
      <c r="D78" s="27"/>
      <c r="E78" s="385">
        <f>(Gisement!C24+Gisement!C29+Gisement!C31)/Matieres_entrantes</f>
        <v>4.2372881355932202E-2</v>
      </c>
      <c r="F78" s="38"/>
    </row>
    <row r="79" spans="1:6">
      <c r="A79" s="80"/>
      <c r="B79" s="173" t="s">
        <v>261</v>
      </c>
      <c r="C79" s="178" t="s">
        <v>180</v>
      </c>
      <c r="D79" s="27"/>
      <c r="E79" s="385">
        <f>(Gisement!C28+Gisement!C30)/Matieres_entrantes</f>
        <v>0</v>
      </c>
      <c r="F79" s="38"/>
    </row>
    <row r="80" spans="1:6">
      <c r="A80" s="80"/>
      <c r="B80" s="391" t="s">
        <v>283</v>
      </c>
      <c r="C80" s="38"/>
      <c r="D80" s="27"/>
      <c r="E80" s="38"/>
      <c r="F80" s="38"/>
    </row>
    <row r="81" spans="1:6">
      <c r="A81" s="80"/>
      <c r="B81" s="173" t="s">
        <v>264</v>
      </c>
      <c r="C81" s="178" t="s">
        <v>282</v>
      </c>
      <c r="D81" s="27"/>
      <c r="E81" s="165">
        <f>C100</f>
        <v>88.795000000000002</v>
      </c>
      <c r="F81" s="38"/>
    </row>
    <row r="82" spans="1:6">
      <c r="A82" s="80"/>
      <c r="B82" s="173" t="s">
        <v>259</v>
      </c>
      <c r="C82" s="178" t="s">
        <v>282</v>
      </c>
      <c r="D82" s="27"/>
      <c r="E82" s="165">
        <f>C101</f>
        <v>5</v>
      </c>
      <c r="F82" s="38"/>
    </row>
    <row r="83" spans="1:6">
      <c r="A83" s="80"/>
      <c r="B83" s="173" t="s">
        <v>260</v>
      </c>
      <c r="C83" s="178" t="s">
        <v>282</v>
      </c>
      <c r="D83" s="27"/>
      <c r="E83" s="165">
        <f>C104</f>
        <v>28.783333333333335</v>
      </c>
      <c r="F83" s="38"/>
    </row>
    <row r="84" spans="1:6">
      <c r="A84" s="80"/>
      <c r="B84" s="173" t="s">
        <v>261</v>
      </c>
      <c r="C84" s="178" t="s">
        <v>282</v>
      </c>
      <c r="D84" s="27"/>
      <c r="E84" s="165">
        <f>C105</f>
        <v>37.174999999999997</v>
      </c>
      <c r="F84" s="38"/>
    </row>
    <row r="85" spans="1:6">
      <c r="A85" s="80"/>
      <c r="B85" s="173" t="s">
        <v>267</v>
      </c>
      <c r="C85" s="178" t="s">
        <v>282</v>
      </c>
      <c r="D85" s="27"/>
      <c r="E85" s="165">
        <f>C106</f>
        <v>27.775564971751415</v>
      </c>
      <c r="F85" s="38"/>
    </row>
    <row r="86" spans="1:6">
      <c r="A86" s="80"/>
      <c r="B86" s="173" t="s">
        <v>238</v>
      </c>
      <c r="C86" s="178" t="s">
        <v>282</v>
      </c>
      <c r="D86" s="27"/>
      <c r="E86" s="165">
        <f>E85+E81</f>
        <v>116.57056497175142</v>
      </c>
      <c r="F86" s="38"/>
    </row>
    <row r="87" spans="1:6">
      <c r="A87" s="80"/>
      <c r="B87" s="41"/>
      <c r="C87" s="38"/>
      <c r="D87" s="27"/>
      <c r="E87" s="38"/>
      <c r="F87" s="38"/>
    </row>
    <row r="88" spans="1:6">
      <c r="A88" s="80"/>
      <c r="B88" s="173" t="s">
        <v>271</v>
      </c>
      <c r="C88" s="178"/>
      <c r="D88" s="27"/>
      <c r="E88" s="390">
        <v>1.0383100000000001</v>
      </c>
      <c r="F88" s="38"/>
    </row>
    <row r="89" spans="1:6">
      <c r="A89" s="80"/>
      <c r="B89" s="173" t="s">
        <v>272</v>
      </c>
      <c r="C89" s="178" t="s">
        <v>282</v>
      </c>
      <c r="D89" s="27"/>
      <c r="E89" s="165">
        <f>E88*C107</f>
        <v>121.03638331581922</v>
      </c>
      <c r="F89" s="38"/>
    </row>
    <row r="90" spans="1:6">
      <c r="A90" s="80"/>
      <c r="B90" s="41"/>
      <c r="C90" s="38"/>
      <c r="D90" s="27"/>
      <c r="E90" s="38"/>
      <c r="F90" s="38"/>
    </row>
    <row r="91" spans="1:6" ht="13">
      <c r="A91" s="80"/>
      <c r="B91" s="372" t="s">
        <v>262</v>
      </c>
      <c r="C91" s="373" t="s">
        <v>263</v>
      </c>
      <c r="D91" s="27"/>
      <c r="E91" s="38"/>
      <c r="F91" s="38"/>
    </row>
    <row r="92" spans="1:6" ht="13">
      <c r="A92" s="80"/>
      <c r="B92" s="374">
        <v>50</v>
      </c>
      <c r="C92" s="375">
        <v>95</v>
      </c>
      <c r="D92" s="27"/>
      <c r="E92" s="38"/>
      <c r="F92" s="38"/>
    </row>
    <row r="93" spans="1:6" ht="13">
      <c r="A93" s="80"/>
      <c r="B93" s="376">
        <v>100</v>
      </c>
      <c r="C93" s="375">
        <v>86.5</v>
      </c>
      <c r="D93" s="27"/>
      <c r="E93" s="38"/>
      <c r="F93" s="38"/>
    </row>
    <row r="94" spans="1:6" ht="13">
      <c r="A94" s="80"/>
      <c r="B94" s="376">
        <v>150</v>
      </c>
      <c r="C94" s="375">
        <v>78</v>
      </c>
      <c r="D94" s="27"/>
      <c r="E94" s="38"/>
      <c r="F94" s="38"/>
    </row>
    <row r="95" spans="1:6" ht="13">
      <c r="A95" s="80"/>
      <c r="B95" s="376">
        <v>200</v>
      </c>
      <c r="C95" s="375">
        <v>73</v>
      </c>
      <c r="D95" s="27"/>
      <c r="E95" s="38"/>
      <c r="F95" s="38"/>
    </row>
    <row r="96" spans="1:6" ht="13">
      <c r="A96" s="80"/>
      <c r="B96" s="376">
        <v>250</v>
      </c>
      <c r="C96" s="375">
        <v>68</v>
      </c>
      <c r="D96" s="27"/>
      <c r="E96" s="38"/>
      <c r="F96" s="38"/>
    </row>
    <row r="97" spans="1:6" ht="13">
      <c r="A97" s="80"/>
      <c r="B97" s="376">
        <v>300</v>
      </c>
      <c r="C97" s="375">
        <v>66</v>
      </c>
      <c r="D97" s="27"/>
      <c r="E97" s="27"/>
      <c r="F97" s="38"/>
    </row>
    <row r="98" spans="1:6" ht="13">
      <c r="A98" s="80"/>
      <c r="B98" s="376">
        <v>350</v>
      </c>
      <c r="C98" s="375">
        <v>64</v>
      </c>
      <c r="D98" s="27"/>
      <c r="E98" s="38"/>
      <c r="F98" s="38"/>
    </row>
    <row r="99" spans="1:6" ht="13">
      <c r="A99" s="80"/>
      <c r="B99" s="377">
        <v>350</v>
      </c>
      <c r="C99" s="375">
        <v>64</v>
      </c>
      <c r="D99" s="38"/>
      <c r="E99" s="38"/>
      <c r="F99" s="38"/>
    </row>
    <row r="100" spans="1:6" ht="13">
      <c r="A100" s="80"/>
      <c r="B100" s="378" t="s">
        <v>264</v>
      </c>
      <c r="C100" s="379">
        <f>IF(E76&lt;=B92,C92,IF(AND(B92&lt;E76,E76&lt;=B93),C92-(C92-C93)/(B92-B93)*(B92-E76),IF(AND(B93&lt;E76,E76&lt;=B94),C93-(C93-C94)/(B93-B94)*(B93-E76),IF(AND(B94&lt;E76,E76&lt;=B95),C94-(C94-C95)/(B94-B95)*(B94-E76),IF(AND(B95&lt;E76,E76&lt;=B96),C95-(C95-C96)/(B95-B96)*(B95-E76),IF(AND(B96&lt;E76,E76&lt;=B97),C96-(C96-C97)/(B96-B97)*(B96-E76),IF(AND(B97&lt;E76,E76&lt;=B98),C97-(C97-C98)/(B97-B98)*(B97-E76),C98)))))))</f>
        <v>88.795000000000002</v>
      </c>
      <c r="D100" s="38"/>
      <c r="E100" s="38"/>
      <c r="F100" s="38"/>
    </row>
    <row r="101" spans="1:6" ht="13">
      <c r="A101" s="80"/>
      <c r="B101" s="386" t="s">
        <v>265</v>
      </c>
      <c r="C101" s="375">
        <v>5</v>
      </c>
      <c r="D101" s="27"/>
      <c r="E101" s="38"/>
      <c r="F101" s="38"/>
    </row>
    <row r="102" spans="1:6" ht="13">
      <c r="A102" s="80"/>
      <c r="B102" s="380">
        <v>50</v>
      </c>
      <c r="C102" s="375">
        <v>30</v>
      </c>
      <c r="D102" s="27"/>
      <c r="E102" s="38"/>
      <c r="F102" s="38"/>
    </row>
    <row r="103" spans="1:6" ht="13">
      <c r="A103" s="80"/>
      <c r="B103" s="381">
        <v>350</v>
      </c>
      <c r="C103" s="375">
        <v>20</v>
      </c>
      <c r="D103" s="27"/>
      <c r="E103" s="38"/>
      <c r="F103" s="38"/>
    </row>
    <row r="104" spans="1:6" ht="13">
      <c r="A104" s="80"/>
      <c r="B104" s="380" t="s">
        <v>266</v>
      </c>
      <c r="C104" s="382">
        <f>IF(E76&lt;=B102,C102,IF(E76&gt;=B103,C103,C102-(C102-C103)/(B102-B103)*(B102-E76)))</f>
        <v>28.783333333333335</v>
      </c>
      <c r="D104" s="27"/>
      <c r="E104" s="38"/>
      <c r="F104" s="38"/>
    </row>
    <row r="105" spans="1:6" ht="13">
      <c r="A105" s="80"/>
      <c r="B105" s="387" t="s">
        <v>270</v>
      </c>
      <c r="C105" s="382">
        <f>IF(E76&lt;=50,3.9,IF(E76&lt;150,3.9+(3.4-3.9)/(150-50)*(E76-50),IF(E76&lt;250,3.4+(2.1-3.4)/(250-150)*(E76-150),IF(E76&lt;350,2.1+(0.1-2.1)/(350-250)*(E76-250),0.1))))*10</f>
        <v>37.174999999999997</v>
      </c>
      <c r="D105" s="27"/>
      <c r="E105" s="351"/>
      <c r="F105" s="38"/>
    </row>
    <row r="106" spans="1:6" ht="13">
      <c r="A106" s="80"/>
      <c r="B106" s="378" t="s">
        <v>267</v>
      </c>
      <c r="C106" s="379">
        <f>C101*E78+C104*E77+C105*E79</f>
        <v>27.775564971751415</v>
      </c>
      <c r="D106" s="27"/>
      <c r="E106" s="351"/>
      <c r="F106" s="38"/>
    </row>
    <row r="107" spans="1:6" ht="13">
      <c r="A107" s="80"/>
      <c r="B107" s="383" t="s">
        <v>268</v>
      </c>
      <c r="C107" s="384">
        <f>C100+C106</f>
        <v>116.57056497175142</v>
      </c>
      <c r="D107" s="27"/>
      <c r="E107" s="351"/>
      <c r="F107" s="38"/>
    </row>
    <row r="108" spans="1:6">
      <c r="A108" s="80"/>
      <c r="B108" s="38"/>
      <c r="C108" s="38"/>
      <c r="D108" s="27"/>
      <c r="E108" s="38"/>
      <c r="F108" s="38"/>
    </row>
    <row r="109" spans="1:6">
      <c r="A109" s="80"/>
      <c r="B109" s="38"/>
      <c r="C109" s="38"/>
      <c r="D109" s="27"/>
      <c r="E109" s="38"/>
      <c r="F109" s="38"/>
    </row>
    <row r="110" spans="1:6">
      <c r="A110" s="80"/>
      <c r="B110" s="38"/>
      <c r="C110" s="38"/>
      <c r="D110" s="27"/>
      <c r="E110" s="38"/>
      <c r="F110" s="38"/>
    </row>
    <row r="111" spans="1:6" s="19" customFormat="1" ht="15">
      <c r="A111" s="80"/>
      <c r="B111" s="31" t="s">
        <v>154</v>
      </c>
      <c r="C111" s="32"/>
      <c r="D111" s="32"/>
      <c r="E111" s="397" t="s">
        <v>298</v>
      </c>
      <c r="F111" s="27"/>
    </row>
    <row r="112" spans="1:6" s="19" customFormat="1">
      <c r="A112" s="80"/>
      <c r="B112" s="173" t="s">
        <v>155</v>
      </c>
      <c r="C112" s="178" t="s">
        <v>129</v>
      </c>
      <c r="D112" s="27"/>
      <c r="E112" s="165">
        <f>IF(P_Elec&lt;=B119,C119,IF(AND(P_Elec&gt;B119,P_Elec&lt;=B120),C119-(C119-C120)/(B119-B120)*(B119-P_Elec),IF(P_Elec&gt;=B120,C120)))</f>
        <v>175</v>
      </c>
      <c r="F112" s="27"/>
    </row>
    <row r="113" spans="1:8" s="19" customFormat="1">
      <c r="A113" s="80"/>
      <c r="B113" s="173" t="s">
        <v>44</v>
      </c>
      <c r="C113" s="178" t="s">
        <v>129</v>
      </c>
      <c r="D113" s="27"/>
      <c r="E113" s="165">
        <f>C126</f>
        <v>50</v>
      </c>
      <c r="F113" s="27"/>
    </row>
    <row r="114" spans="1:8" s="1" customFormat="1">
      <c r="A114" s="80"/>
      <c r="B114" s="173" t="s">
        <v>238</v>
      </c>
      <c r="C114" s="321" t="s">
        <v>129</v>
      </c>
      <c r="D114" s="27"/>
      <c r="E114" s="319">
        <f>E112+E113</f>
        <v>225</v>
      </c>
      <c r="F114" s="27"/>
      <c r="H114" s="19"/>
    </row>
    <row r="115" spans="1:8" s="1" customFormat="1">
      <c r="A115" s="80"/>
      <c r="B115" s="41"/>
      <c r="C115" s="38"/>
      <c r="D115" s="27"/>
      <c r="E115" s="38"/>
      <c r="F115" s="27"/>
      <c r="H115" s="19"/>
    </row>
    <row r="116" spans="1:8" s="1" customFormat="1" ht="13">
      <c r="A116" s="80"/>
      <c r="B116" s="354" t="s">
        <v>43</v>
      </c>
      <c r="C116" s="38"/>
      <c r="D116" s="27"/>
      <c r="E116" s="38"/>
      <c r="F116" s="27"/>
    </row>
    <row r="117" spans="1:8" s="19" customFormat="1">
      <c r="A117" s="81"/>
      <c r="B117" s="166" t="s">
        <v>234</v>
      </c>
      <c r="C117" s="167" t="s">
        <v>89</v>
      </c>
      <c r="D117" s="27"/>
      <c r="E117" s="38"/>
      <c r="F117" s="27"/>
    </row>
    <row r="118" spans="1:8" s="19" customFormat="1">
      <c r="A118" s="80"/>
      <c r="B118" s="42">
        <v>0</v>
      </c>
      <c r="C118" s="168">
        <v>175</v>
      </c>
      <c r="D118" s="27"/>
      <c r="E118" s="38"/>
      <c r="F118" s="27"/>
    </row>
    <row r="119" spans="1:8" s="19" customFormat="1">
      <c r="A119" s="81"/>
      <c r="B119" s="42">
        <v>80</v>
      </c>
      <c r="C119" s="169">
        <v>175</v>
      </c>
      <c r="D119" s="27"/>
      <c r="E119" s="38"/>
      <c r="F119" s="27"/>
    </row>
    <row r="120" spans="1:8" s="19" customFormat="1">
      <c r="A120" s="81"/>
      <c r="B120" s="42">
        <v>500</v>
      </c>
      <c r="C120" s="169">
        <v>150</v>
      </c>
      <c r="D120" s="27"/>
      <c r="E120" s="38"/>
      <c r="F120" s="27"/>
    </row>
    <row r="121" spans="1:8" s="19" customFormat="1">
      <c r="A121" s="27"/>
      <c r="B121" s="38"/>
      <c r="C121" s="38"/>
      <c r="D121" s="38"/>
      <c r="E121" s="38"/>
      <c r="F121" s="38"/>
    </row>
    <row r="122" spans="1:8" s="19" customFormat="1">
      <c r="A122" s="27"/>
      <c r="B122" s="352"/>
      <c r="C122" s="353"/>
      <c r="D122" s="27"/>
      <c r="E122" s="351"/>
      <c r="F122" s="38"/>
    </row>
    <row r="123" spans="1:8" s="19" customFormat="1" ht="13">
      <c r="A123" s="27"/>
      <c r="B123" s="355" t="s">
        <v>42</v>
      </c>
      <c r="C123" s="167" t="s">
        <v>89</v>
      </c>
      <c r="D123" s="27"/>
      <c r="E123" s="351"/>
      <c r="F123" s="38"/>
    </row>
    <row r="124" spans="1:8" s="19" customFormat="1">
      <c r="A124" s="80"/>
      <c r="B124" s="360">
        <v>0</v>
      </c>
      <c r="C124" s="361">
        <v>0</v>
      </c>
      <c r="D124" s="27"/>
      <c r="E124" s="351"/>
      <c r="F124" s="38"/>
    </row>
    <row r="125" spans="1:8" s="19" customFormat="1">
      <c r="A125" s="129" t="str">
        <f>IF(P_Elec&lt;30,"Attention, le module économique est inadapté pour des puissances inférieures à 30 kW ",IF(P_Elec&gt;300,"Attention, le module économique est inadapté pour des puissances supérieures à 300 kW",""))</f>
        <v xml:space="preserve">Attention, le module économique est inadapté pour des puissances inférieures à 30 kW </v>
      </c>
      <c r="B125" s="362">
        <v>0.6</v>
      </c>
      <c r="C125" s="350">
        <v>50</v>
      </c>
      <c r="D125" s="27"/>
      <c r="E125" s="351"/>
      <c r="F125" s="128"/>
    </row>
    <row r="126" spans="1:8" s="19" customFormat="1">
      <c r="A126" s="80"/>
      <c r="B126" s="352"/>
      <c r="C126" s="359">
        <f>IF(C128&lt;=B124,C124,IF(AND(C128&gt;B124,C128&lt;B125),(C125-C124)/(B125-B124)*(C128-B124),IF(C128&gt;=B125,C125)))</f>
        <v>50</v>
      </c>
      <c r="D126" s="27"/>
      <c r="E126" s="351"/>
      <c r="F126" s="38"/>
    </row>
    <row r="127" spans="1:8">
      <c r="A127" s="80"/>
      <c r="B127" s="352"/>
      <c r="C127" s="19"/>
      <c r="D127" s="27"/>
      <c r="E127" s="351"/>
      <c r="F127" s="38"/>
    </row>
    <row r="128" spans="1:8">
      <c r="A128" s="80"/>
      <c r="B128" s="365" t="s">
        <v>45</v>
      </c>
      <c r="C128" s="366">
        <f>C72</f>
        <v>0.84745762711864403</v>
      </c>
      <c r="D128" s="27"/>
      <c r="E128" s="351"/>
      <c r="F128" s="38"/>
    </row>
  </sheetData>
  <customSheetViews>
    <customSheetView guid="{59F82281-7419-11DB-A87A-FCB3BF190000}" showRuler="0" topLeftCell="G83">
      <selection activeCell="G83" sqref="G83:AB118"/>
      <pageSetup paperSize="0" orientation="portrait" horizontalDpi="4294967292" verticalDpi="4294967292"/>
    </customSheetView>
    <customSheetView guid="{59F82282-7419-11DB-A87A-FCB3BF190000}" showRuler="0" topLeftCell="G83">
      <selection activeCell="U112" sqref="U112"/>
      <pageSetup paperSize="0" orientation="portrait" horizontalDpi="4294967292" verticalDpi="4294967292"/>
    </customSheetView>
  </customSheetViews>
  <phoneticPr fontId="6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0"/>
  <sheetViews>
    <sheetView showGridLines="0" tabSelected="1" showRuler="0" topLeftCell="A16" workbookViewId="0">
      <selection activeCell="O29" sqref="O29"/>
    </sheetView>
  </sheetViews>
  <sheetFormatPr baseColWidth="10" defaultColWidth="11" defaultRowHeight="12" x14ac:dyDescent="0"/>
  <cols>
    <col min="1" max="1" width="3" style="64" customWidth="1"/>
    <col min="2" max="2" width="3.83203125" style="75" customWidth="1"/>
    <col min="3" max="3" width="13.83203125" style="75" customWidth="1"/>
    <col min="4" max="4" width="41.1640625" style="87" bestFit="1" customWidth="1"/>
    <col min="5" max="5" width="8" style="64" customWidth="1"/>
    <col min="6" max="6" width="8" style="87" customWidth="1"/>
    <col min="7" max="7" width="8" style="64" customWidth="1"/>
    <col min="8" max="8" width="8" style="87" customWidth="1"/>
    <col min="9" max="9" width="10" style="64" customWidth="1"/>
    <col min="10" max="10" width="10.83203125" style="64" customWidth="1"/>
    <col min="11" max="11" width="8" style="64" customWidth="1"/>
    <col min="12" max="12" width="11.6640625" style="64" customWidth="1"/>
    <col min="13" max="13" width="10" style="64" customWidth="1"/>
    <col min="14" max="14" width="9.6640625" style="64" customWidth="1"/>
    <col min="15" max="15" width="13" style="64" customWidth="1"/>
    <col min="16" max="16" width="11" style="64"/>
    <col min="17" max="17" width="14" style="64" customWidth="1"/>
    <col min="18" max="16384" width="11" style="64"/>
  </cols>
  <sheetData>
    <row r="1" spans="1:21" s="61" customFormat="1">
      <c r="A1" s="26"/>
      <c r="B1" s="22"/>
      <c r="C1" s="22"/>
      <c r="D1" s="27"/>
      <c r="E1" s="26"/>
      <c r="F1" s="27"/>
      <c r="G1" s="26"/>
      <c r="H1" s="27"/>
      <c r="I1" s="26"/>
      <c r="J1" s="53"/>
      <c r="K1" s="26"/>
      <c r="L1" s="26"/>
      <c r="M1" s="26"/>
      <c r="N1" s="26"/>
      <c r="O1" s="26"/>
    </row>
    <row r="2" spans="1:21" s="54" customFormat="1" ht="15">
      <c r="A2" s="26"/>
      <c r="B2" s="31" t="s">
        <v>202</v>
      </c>
      <c r="C2" s="32"/>
      <c r="D2" s="115"/>
      <c r="E2" s="33"/>
      <c r="F2" s="115"/>
      <c r="G2" s="33"/>
      <c r="H2" s="37"/>
      <c r="I2" s="33"/>
      <c r="J2" s="33"/>
      <c r="K2" s="26"/>
      <c r="L2" s="26"/>
      <c r="M2" s="26"/>
      <c r="N2" s="26"/>
      <c r="O2" s="26"/>
      <c r="P2" s="61"/>
      <c r="Q2" s="61"/>
      <c r="R2" s="61"/>
      <c r="S2" s="61"/>
      <c r="T2" s="61"/>
      <c r="U2" s="61"/>
    </row>
    <row r="3" spans="1:21" s="87" customFormat="1">
      <c r="A3" s="82"/>
      <c r="B3" s="83"/>
      <c r="C3" s="83"/>
      <c r="D3" s="84" t="s">
        <v>15</v>
      </c>
      <c r="E3" s="85" t="s">
        <v>34</v>
      </c>
      <c r="F3" s="85" t="s">
        <v>176</v>
      </c>
      <c r="G3" s="85" t="s">
        <v>133</v>
      </c>
      <c r="H3" s="85"/>
      <c r="I3" s="86" t="s">
        <v>185</v>
      </c>
      <c r="J3" s="27"/>
      <c r="K3" s="82"/>
      <c r="L3" s="82"/>
      <c r="M3" s="82"/>
      <c r="N3" s="82"/>
      <c r="O3" s="82"/>
    </row>
    <row r="4" spans="1:21" s="87" customFormat="1">
      <c r="A4" s="82"/>
      <c r="B4" s="83"/>
      <c r="C4" s="83"/>
      <c r="D4" s="179" t="s">
        <v>41</v>
      </c>
      <c r="E4" s="180">
        <f>Matiere!H27</f>
        <v>2519</v>
      </c>
      <c r="F4" s="181" t="s">
        <v>209</v>
      </c>
      <c r="G4" s="180"/>
      <c r="H4" s="180"/>
      <c r="I4" s="182">
        <f>(Matiere!N23*Matiere!J4*0.0024+Gisement!C49*0.0049+13*Gisement!D51+20)*2</f>
        <v>950.90264296547946</v>
      </c>
      <c r="J4" s="27"/>
      <c r="K4" s="88"/>
      <c r="L4" s="82"/>
      <c r="M4" s="82"/>
      <c r="N4" s="82"/>
      <c r="O4" s="82"/>
    </row>
    <row r="5" spans="1:21" s="87" customFormat="1">
      <c r="A5" s="82"/>
      <c r="B5" s="83"/>
      <c r="C5" s="83"/>
      <c r="D5" s="187" t="s">
        <v>287</v>
      </c>
      <c r="E5" s="395">
        <f>Energie!E22/55%*1.15</f>
        <v>84.974622206436763</v>
      </c>
      <c r="F5" s="189" t="s">
        <v>288</v>
      </c>
      <c r="G5" s="197"/>
      <c r="H5" s="197"/>
      <c r="I5" s="198">
        <f>IF(Energie!C5=3,146.9*E5^0.37/E5,0)*E5</f>
        <v>760.07914312133596</v>
      </c>
      <c r="J5" s="27"/>
      <c r="K5" s="88"/>
      <c r="L5" s="82"/>
      <c r="M5" s="82"/>
      <c r="N5" s="82"/>
      <c r="O5" s="82"/>
    </row>
    <row r="6" spans="1:21" s="87" customFormat="1">
      <c r="A6" s="82"/>
      <c r="B6" s="83"/>
      <c r="C6" s="83"/>
      <c r="D6" s="183" t="s">
        <v>130</v>
      </c>
      <c r="E6" s="184">
        <f>Energie!E10</f>
        <v>0</v>
      </c>
      <c r="F6" s="185" t="s">
        <v>28</v>
      </c>
      <c r="G6" s="184"/>
      <c r="H6" s="184"/>
      <c r="I6" s="186">
        <f>IF(Energie!C5&lt;&gt;3,7+0.18*Gisement!D52*Gisement!D51,0)</f>
        <v>0</v>
      </c>
      <c r="J6" s="27"/>
      <c r="K6" s="89"/>
      <c r="L6" s="82"/>
      <c r="M6" s="82"/>
      <c r="N6" s="82"/>
      <c r="O6" s="82"/>
    </row>
    <row r="7" spans="1:21" s="87" customFormat="1" ht="13" thickBot="1">
      <c r="A7" s="82"/>
      <c r="B7" s="83"/>
      <c r="C7" s="83"/>
      <c r="D7" s="90" t="s">
        <v>131</v>
      </c>
      <c r="E7" s="225"/>
      <c r="F7" s="91"/>
      <c r="G7" s="225"/>
      <c r="H7" s="91"/>
      <c r="I7" s="92">
        <f>SUM(I4:I6)</f>
        <v>1710.9817860868154</v>
      </c>
      <c r="J7" s="27"/>
      <c r="K7" s="82"/>
      <c r="L7" s="82"/>
      <c r="M7" s="82"/>
      <c r="N7" s="82"/>
      <c r="O7" s="82"/>
    </row>
    <row r="8" spans="1:21" ht="14" thickBot="1">
      <c r="A8" s="82"/>
      <c r="B8" s="83"/>
      <c r="C8" s="83"/>
      <c r="D8" s="187" t="s">
        <v>12</v>
      </c>
      <c r="E8" s="226">
        <v>0</v>
      </c>
      <c r="F8" s="189" t="s">
        <v>108</v>
      </c>
      <c r="G8" s="227">
        <v>100</v>
      </c>
      <c r="H8" s="197" t="s">
        <v>143</v>
      </c>
      <c r="I8" s="198">
        <f>E8*G8/1000</f>
        <v>0</v>
      </c>
      <c r="J8" s="26"/>
      <c r="K8" s="63"/>
      <c r="L8" s="63"/>
      <c r="M8" s="63"/>
      <c r="N8" s="63"/>
      <c r="O8" s="63"/>
    </row>
    <row r="9" spans="1:21" ht="14" thickBot="1">
      <c r="A9" s="82"/>
      <c r="B9" s="83"/>
      <c r="C9" s="83"/>
      <c r="D9" s="187" t="s">
        <v>33</v>
      </c>
      <c r="E9" s="226">
        <v>70</v>
      </c>
      <c r="F9" s="189" t="s">
        <v>108</v>
      </c>
      <c r="G9" s="227">
        <v>250</v>
      </c>
      <c r="H9" s="197" t="s">
        <v>143</v>
      </c>
      <c r="I9" s="198">
        <f>E9*G9/1000</f>
        <v>17.5</v>
      </c>
      <c r="J9" s="26"/>
      <c r="K9" s="63"/>
      <c r="L9" s="63"/>
      <c r="M9" s="63"/>
      <c r="N9" s="63"/>
      <c r="O9" s="63"/>
    </row>
    <row r="10" spans="1:21" ht="14" thickBot="1">
      <c r="A10" s="82"/>
      <c r="B10" s="83"/>
      <c r="C10" s="83"/>
      <c r="D10" s="187" t="s">
        <v>220</v>
      </c>
      <c r="E10" s="190"/>
      <c r="F10" s="191"/>
      <c r="G10" s="196"/>
      <c r="H10" s="6"/>
      <c r="I10" s="227">
        <v>10</v>
      </c>
      <c r="J10" s="26"/>
      <c r="K10" s="63"/>
      <c r="L10" s="63"/>
      <c r="M10" s="63"/>
      <c r="N10" s="63"/>
      <c r="O10" s="63"/>
    </row>
    <row r="11" spans="1:21" ht="14" thickBot="1">
      <c r="A11" s="82"/>
      <c r="B11" s="83"/>
      <c r="C11" s="83"/>
      <c r="D11" s="187" t="s">
        <v>26</v>
      </c>
      <c r="E11" s="192" t="str">
        <f>IF(AND(Matiere!O33=0,Matiere!P33&gt;0),"!!! Prévoir système épandage liquide",IF(AND(Matiere!O34=0,Matiere!P34&gt;0),"!!! Prévoir système épandage solide","OK"))</f>
        <v>OK</v>
      </c>
      <c r="F11" s="193"/>
      <c r="G11" s="192"/>
      <c r="H11" s="188"/>
      <c r="I11" s="226">
        <v>0</v>
      </c>
      <c r="J11" s="26"/>
      <c r="K11" s="63"/>
      <c r="L11" s="63"/>
      <c r="M11" s="63"/>
      <c r="N11" s="63"/>
      <c r="O11" s="63"/>
    </row>
    <row r="12" spans="1:21" ht="14" thickBot="1">
      <c r="A12" s="82"/>
      <c r="B12" s="83"/>
      <c r="C12" s="83"/>
      <c r="D12" s="187" t="s">
        <v>230</v>
      </c>
      <c r="E12" s="194">
        <f>Matiere!O29</f>
        <v>3760</v>
      </c>
      <c r="F12" s="195" t="s">
        <v>209</v>
      </c>
      <c r="G12" s="227">
        <v>55</v>
      </c>
      <c r="H12" s="197" t="s">
        <v>144</v>
      </c>
      <c r="I12" s="388">
        <f>E12*G12/1000</f>
        <v>206.8</v>
      </c>
      <c r="J12" s="26"/>
      <c r="K12" s="63"/>
      <c r="L12" s="63"/>
      <c r="M12" s="63"/>
      <c r="N12" s="63"/>
      <c r="O12" s="63"/>
    </row>
    <row r="13" spans="1:21" ht="14" thickBot="1">
      <c r="A13" s="82"/>
      <c r="B13" s="83"/>
      <c r="C13" s="83"/>
      <c r="D13" s="187" t="s">
        <v>286</v>
      </c>
      <c r="E13" s="194"/>
      <c r="F13" s="195"/>
      <c r="G13" s="199"/>
      <c r="H13" s="197"/>
      <c r="I13" s="227"/>
      <c r="J13" s="26"/>
      <c r="K13" s="63"/>
      <c r="L13" s="63"/>
      <c r="M13" s="63"/>
      <c r="N13" s="63"/>
      <c r="O13" s="63"/>
    </row>
    <row r="14" spans="1:21" ht="14" thickBot="1">
      <c r="A14" s="82"/>
      <c r="B14" s="83"/>
      <c r="C14" s="83"/>
      <c r="D14" s="187" t="s">
        <v>300</v>
      </c>
      <c r="E14" s="194"/>
      <c r="F14" s="195"/>
      <c r="G14" s="227">
        <v>750</v>
      </c>
      <c r="H14" s="197" t="s">
        <v>185</v>
      </c>
      <c r="I14" s="388">
        <f>IF(AND(Energie!C14=2,Energie!C5=3),Economie!G14,0)</f>
        <v>0</v>
      </c>
      <c r="J14" s="26"/>
      <c r="K14" s="63"/>
      <c r="L14" s="63"/>
      <c r="M14" s="63"/>
      <c r="N14" s="63"/>
      <c r="O14" s="63"/>
    </row>
    <row r="15" spans="1:21" ht="14" thickBot="1">
      <c r="A15" s="82"/>
      <c r="B15" s="83"/>
      <c r="C15" s="83"/>
      <c r="D15" s="187" t="s">
        <v>153</v>
      </c>
      <c r="E15" s="194"/>
      <c r="F15" s="195"/>
      <c r="G15" s="199"/>
      <c r="H15" s="189"/>
      <c r="I15" s="226"/>
      <c r="J15" s="26"/>
      <c r="K15" s="63"/>
      <c r="L15" s="63"/>
      <c r="M15" s="63"/>
      <c r="N15" s="63"/>
      <c r="O15" s="63"/>
    </row>
    <row r="16" spans="1:21">
      <c r="A16" s="82"/>
      <c r="B16" s="83"/>
      <c r="C16" s="83"/>
      <c r="D16" s="93" t="s">
        <v>7</v>
      </c>
      <c r="E16" s="66"/>
      <c r="F16" s="107"/>
      <c r="G16" s="66"/>
      <c r="H16" s="107"/>
      <c r="I16" s="228">
        <f>SUM(I7:I15)</f>
        <v>1945.2817860868154</v>
      </c>
      <c r="J16" s="26"/>
      <c r="K16" s="63"/>
      <c r="L16" s="63"/>
      <c r="M16" s="63"/>
      <c r="N16" s="63"/>
      <c r="O16" s="63"/>
    </row>
    <row r="17" spans="1:21" s="87" customFormat="1">
      <c r="A17" s="82"/>
      <c r="B17" s="83"/>
      <c r="C17" s="83"/>
      <c r="D17" s="187" t="s">
        <v>132</v>
      </c>
      <c r="E17" s="200">
        <v>0.12</v>
      </c>
      <c r="F17" s="189"/>
      <c r="G17" s="197"/>
      <c r="H17" s="197"/>
      <c r="I17" s="198">
        <f>30+E17*SUM(I7:I10)</f>
        <v>238.61781433041784</v>
      </c>
      <c r="J17" s="27"/>
      <c r="K17" s="82"/>
      <c r="L17" s="82"/>
      <c r="M17" s="82"/>
      <c r="N17" s="82"/>
      <c r="O17" s="82"/>
    </row>
    <row r="18" spans="1:21" s="87" customFormat="1" ht="13" thickBot="1">
      <c r="A18" s="82"/>
      <c r="B18" s="83"/>
      <c r="C18" s="83"/>
      <c r="D18" s="93" t="s">
        <v>170</v>
      </c>
      <c r="E18" s="130"/>
      <c r="F18" s="107"/>
      <c r="G18" s="107"/>
      <c r="H18" s="107"/>
      <c r="I18" s="117">
        <f>I16+I17</f>
        <v>2183.8996004172332</v>
      </c>
      <c r="J18" s="26" t="s">
        <v>218</v>
      </c>
      <c r="K18" s="82"/>
      <c r="L18" s="82"/>
      <c r="M18" s="82"/>
      <c r="N18" s="82"/>
      <c r="O18" s="82"/>
    </row>
    <row r="19" spans="1:21" ht="14" thickBot="1">
      <c r="A19" s="82"/>
      <c r="B19" s="83"/>
      <c r="C19" s="83"/>
      <c r="D19" s="201" t="s">
        <v>237</v>
      </c>
      <c r="E19" s="330">
        <v>0</v>
      </c>
      <c r="F19" s="202"/>
      <c r="G19" s="204"/>
      <c r="H19" s="202"/>
      <c r="I19" s="203">
        <f>E19*I18</f>
        <v>0</v>
      </c>
      <c r="J19" s="26"/>
      <c r="K19" s="63"/>
      <c r="L19" s="63"/>
      <c r="M19" s="63"/>
      <c r="N19" s="63"/>
      <c r="O19" s="63"/>
    </row>
    <row r="20" spans="1:21" s="87" customFormat="1">
      <c r="A20" s="82"/>
      <c r="B20" s="83" t="s">
        <v>73</v>
      </c>
      <c r="C20" s="83"/>
      <c r="D20" s="94" t="s">
        <v>222</v>
      </c>
      <c r="E20" s="131"/>
      <c r="F20" s="107"/>
      <c r="G20" s="107"/>
      <c r="H20" s="107"/>
      <c r="I20" s="117">
        <f>I18-I19</f>
        <v>2183.8996004172332</v>
      </c>
      <c r="J20" s="27"/>
      <c r="K20" s="82"/>
      <c r="L20" s="82"/>
      <c r="M20" s="82"/>
      <c r="N20" s="82"/>
      <c r="O20" s="82"/>
    </row>
    <row r="21" spans="1:21" s="1" customFormat="1" ht="13" thickBot="1">
      <c r="A21" s="27"/>
      <c r="B21" s="60"/>
      <c r="C21" s="6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21" ht="14" thickBot="1">
      <c r="A22" s="82"/>
      <c r="B22" s="83"/>
      <c r="C22" s="83"/>
      <c r="D22" s="201" t="s">
        <v>236</v>
      </c>
      <c r="E22" s="204"/>
      <c r="F22" s="181"/>
      <c r="G22" s="204"/>
      <c r="H22" s="202"/>
      <c r="I22" s="331">
        <v>4.4999999999999998E-2</v>
      </c>
      <c r="J22" s="68"/>
      <c r="K22" s="67"/>
      <c r="L22" s="68"/>
      <c r="M22" s="26"/>
      <c r="N22" s="26"/>
      <c r="O22" s="63"/>
    </row>
    <row r="23" spans="1:21" ht="14" thickBot="1">
      <c r="A23" s="82"/>
      <c r="B23" s="83"/>
      <c r="C23" s="83"/>
      <c r="D23" s="187" t="s">
        <v>151</v>
      </c>
      <c r="E23" s="199"/>
      <c r="F23" s="17"/>
      <c r="G23" s="199"/>
      <c r="H23" s="189"/>
      <c r="I23" s="332">
        <v>15</v>
      </c>
      <c r="J23" s="69"/>
      <c r="K23" s="68"/>
      <c r="L23" s="26"/>
      <c r="M23" s="26"/>
      <c r="N23" s="63"/>
      <c r="O23" s="63"/>
    </row>
    <row r="24" spans="1:21">
      <c r="A24" s="82"/>
      <c r="B24" s="60" t="s">
        <v>193</v>
      </c>
      <c r="C24" s="60"/>
      <c r="D24" s="205" t="s">
        <v>47</v>
      </c>
      <c r="E24" s="206"/>
      <c r="F24" s="207"/>
      <c r="G24" s="206"/>
      <c r="H24" s="185"/>
      <c r="I24" s="208">
        <f>-PMT(I22,I23,I20)</f>
        <v>203.35120833517053</v>
      </c>
      <c r="J24" s="69"/>
      <c r="K24" s="63"/>
      <c r="L24" s="26"/>
      <c r="M24" s="26"/>
      <c r="N24" s="63"/>
      <c r="O24" s="63"/>
    </row>
    <row r="25" spans="1:21" s="61" customFormat="1">
      <c r="A25" s="27"/>
      <c r="B25" s="60"/>
      <c r="C25" s="60"/>
      <c r="D25" s="27"/>
      <c r="E25" s="26"/>
      <c r="F25" s="27"/>
      <c r="G25" s="26"/>
      <c r="H25" s="27"/>
      <c r="I25" s="26"/>
      <c r="J25" s="53"/>
      <c r="K25" s="26"/>
      <c r="L25" s="26"/>
      <c r="M25" s="26"/>
      <c r="N25" s="26"/>
      <c r="O25" s="26"/>
    </row>
    <row r="26" spans="1:21" s="54" customFormat="1" ht="15">
      <c r="A26" s="26"/>
      <c r="B26" s="31" t="s">
        <v>165</v>
      </c>
      <c r="C26" s="32"/>
      <c r="D26" s="115"/>
      <c r="E26" s="33"/>
      <c r="F26" s="115"/>
      <c r="G26" s="33"/>
      <c r="H26" s="37"/>
      <c r="I26" s="33"/>
      <c r="J26" s="33"/>
      <c r="K26" s="26"/>
      <c r="L26" s="26"/>
      <c r="M26" s="26"/>
      <c r="N26" s="26"/>
      <c r="O26" s="26"/>
      <c r="P26" s="61"/>
      <c r="Q26" s="61"/>
      <c r="R26" s="61"/>
      <c r="S26" s="61"/>
      <c r="T26" s="61"/>
      <c r="U26" s="61"/>
    </row>
    <row r="27" spans="1:21" ht="13" thickBot="1">
      <c r="A27" s="82"/>
      <c r="B27" s="83"/>
      <c r="C27" s="83"/>
      <c r="D27" s="95" t="s">
        <v>191</v>
      </c>
      <c r="E27" s="99" t="s">
        <v>34</v>
      </c>
      <c r="F27" s="99"/>
      <c r="G27" s="229" t="s">
        <v>94</v>
      </c>
      <c r="H27" s="99" t="s">
        <v>176</v>
      </c>
      <c r="I27" s="100"/>
      <c r="J27" s="101"/>
      <c r="K27" s="63"/>
      <c r="L27" s="63"/>
      <c r="M27" s="65"/>
      <c r="N27" s="63"/>
      <c r="O27" s="63"/>
    </row>
    <row r="28" spans="1:21" ht="14" thickBot="1">
      <c r="A28" s="82"/>
      <c r="B28" s="83"/>
      <c r="C28" s="83"/>
      <c r="D28" s="214" t="s">
        <v>168</v>
      </c>
      <c r="E28" s="17">
        <f>200+Matiere!H27/6+Energie!E10</f>
        <v>619.83333333333326</v>
      </c>
      <c r="F28" s="17" t="s">
        <v>186</v>
      </c>
      <c r="G28" s="326">
        <v>20</v>
      </c>
      <c r="H28" s="216" t="s">
        <v>18</v>
      </c>
      <c r="I28" s="209">
        <f>G28*E28/1000</f>
        <v>12.396666666666665</v>
      </c>
      <c r="J28" s="210" t="s">
        <v>192</v>
      </c>
      <c r="K28" s="63"/>
      <c r="L28" s="63"/>
      <c r="M28" s="63"/>
      <c r="N28" s="63"/>
      <c r="O28" s="63"/>
    </row>
    <row r="29" spans="1:21" ht="14" thickBot="1">
      <c r="A29" s="82"/>
      <c r="B29" s="83"/>
      <c r="C29" s="83"/>
      <c r="D29" s="187" t="s">
        <v>161</v>
      </c>
      <c r="E29" s="215">
        <f>Matiere!L21+Matiere!H21+0.9302*Energie!E22/55%^0.8333*18*365/1000</f>
        <v>627.72982528626096</v>
      </c>
      <c r="F29" s="17" t="s">
        <v>159</v>
      </c>
      <c r="G29" s="227">
        <v>80</v>
      </c>
      <c r="H29" s="216" t="s">
        <v>89</v>
      </c>
      <c r="I29" s="211">
        <f>G29*E29/1000</f>
        <v>50.21838602290088</v>
      </c>
      <c r="J29" s="212" t="s">
        <v>192</v>
      </c>
      <c r="K29" s="63"/>
      <c r="L29" s="63"/>
      <c r="M29" s="63"/>
      <c r="N29" s="63"/>
      <c r="O29" s="63"/>
    </row>
    <row r="30" spans="1:21" ht="14" thickBot="1">
      <c r="A30" s="82"/>
      <c r="B30" s="83"/>
      <c r="C30" s="83"/>
      <c r="D30" s="187" t="s">
        <v>96</v>
      </c>
      <c r="E30" s="215">
        <f>Energie!E7</f>
        <v>0</v>
      </c>
      <c r="F30" s="17" t="s">
        <v>159</v>
      </c>
      <c r="G30" s="227">
        <v>70</v>
      </c>
      <c r="H30" s="216" t="s">
        <v>89</v>
      </c>
      <c r="I30" s="211">
        <f>G30*E30/1000</f>
        <v>0</v>
      </c>
      <c r="J30" s="212" t="s">
        <v>192</v>
      </c>
      <c r="K30" s="63"/>
      <c r="L30" s="63"/>
      <c r="M30" s="63"/>
      <c r="N30" s="63"/>
      <c r="O30" s="63"/>
    </row>
    <row r="31" spans="1:21" ht="14" thickBot="1">
      <c r="A31" s="82"/>
      <c r="B31" s="83"/>
      <c r="C31" s="83"/>
      <c r="D31" s="187" t="s">
        <v>135</v>
      </c>
      <c r="E31" s="17">
        <f>E42</f>
        <v>0</v>
      </c>
      <c r="F31" s="216" t="s">
        <v>159</v>
      </c>
      <c r="G31" s="327">
        <v>20</v>
      </c>
      <c r="H31" s="216" t="s">
        <v>89</v>
      </c>
      <c r="I31" s="211">
        <f>G31*E31/1000</f>
        <v>0</v>
      </c>
      <c r="J31" s="212" t="s">
        <v>192</v>
      </c>
      <c r="K31" s="63"/>
      <c r="L31" s="63"/>
      <c r="M31" s="63"/>
      <c r="N31" s="63"/>
      <c r="O31" s="63"/>
    </row>
    <row r="32" spans="1:21" ht="14" thickBot="1">
      <c r="A32" s="82"/>
      <c r="B32" s="83"/>
      <c r="C32" s="83"/>
      <c r="D32" s="187" t="s">
        <v>293</v>
      </c>
      <c r="E32" s="17">
        <f>I5</f>
        <v>760.07914312133596</v>
      </c>
      <c r="F32" s="216" t="s">
        <v>185</v>
      </c>
      <c r="G32" s="327">
        <v>6</v>
      </c>
      <c r="H32" s="216" t="s">
        <v>180</v>
      </c>
      <c r="I32" s="211">
        <f>G32/100*E32</f>
        <v>45.604748587280156</v>
      </c>
      <c r="J32" s="212" t="s">
        <v>192</v>
      </c>
      <c r="K32" s="63"/>
      <c r="L32" s="63"/>
      <c r="M32" s="63"/>
      <c r="N32" s="63"/>
      <c r="O32" s="63"/>
    </row>
    <row r="33" spans="1:17">
      <c r="A33" s="82"/>
      <c r="B33" s="83"/>
      <c r="C33" s="83"/>
      <c r="D33" s="187" t="s">
        <v>208</v>
      </c>
      <c r="E33" s="17"/>
      <c r="F33" s="216"/>
      <c r="G33" s="217"/>
      <c r="H33" s="216"/>
      <c r="I33" s="211">
        <f>3%*(I4+I8+I9+I12)</f>
        <v>35.256079288964386</v>
      </c>
      <c r="J33" s="212" t="s">
        <v>192</v>
      </c>
      <c r="K33" s="63"/>
      <c r="L33" s="63"/>
      <c r="M33" s="63"/>
      <c r="N33" s="63"/>
      <c r="O33" s="63"/>
    </row>
    <row r="34" spans="1:17">
      <c r="A34" s="82"/>
      <c r="B34" s="83"/>
      <c r="C34" s="83"/>
      <c r="D34" s="187" t="s">
        <v>292</v>
      </c>
      <c r="E34" s="17"/>
      <c r="F34" s="216"/>
      <c r="G34" s="217"/>
      <c r="H34" s="216"/>
      <c r="I34" s="211">
        <f>IF(AND(Energie!C5=3,Energie!C14=1),(72700+32700)/1000,0)</f>
        <v>105.4</v>
      </c>
      <c r="J34" s="212" t="s">
        <v>192</v>
      </c>
      <c r="K34" s="63"/>
      <c r="L34" s="63"/>
      <c r="M34" s="63"/>
      <c r="N34" s="63"/>
      <c r="O34" s="63"/>
    </row>
    <row r="35" spans="1:17" ht="14" thickBot="1">
      <c r="A35" s="82"/>
      <c r="B35" s="83"/>
      <c r="C35" s="83"/>
      <c r="D35" s="187" t="s">
        <v>294</v>
      </c>
      <c r="E35" s="327"/>
      <c r="F35" s="216" t="s">
        <v>295</v>
      </c>
      <c r="G35" s="396">
        <v>0.5</v>
      </c>
      <c r="H35" s="216" t="s">
        <v>296</v>
      </c>
      <c r="I35" s="211">
        <f>G35*E35/1000</f>
        <v>0</v>
      </c>
      <c r="J35" s="213" t="s">
        <v>192</v>
      </c>
      <c r="K35" s="63"/>
      <c r="L35" s="63"/>
      <c r="M35" s="63"/>
      <c r="N35" s="63"/>
      <c r="O35" s="63"/>
    </row>
    <row r="36" spans="1:17" ht="14" thickBot="1">
      <c r="A36" s="82"/>
      <c r="B36" s="83"/>
      <c r="C36" s="83"/>
      <c r="D36" s="187" t="s">
        <v>106</v>
      </c>
      <c r="E36" s="17">
        <f>MAX(0,Matiere!Q35)</f>
        <v>982.22869999999966</v>
      </c>
      <c r="F36" s="216" t="s">
        <v>107</v>
      </c>
      <c r="G36" s="227">
        <v>0</v>
      </c>
      <c r="H36" s="216" t="s">
        <v>90</v>
      </c>
      <c r="I36" s="211">
        <f>G36*E36/1000</f>
        <v>0</v>
      </c>
      <c r="J36" s="213" t="s">
        <v>192</v>
      </c>
      <c r="K36" s="63"/>
      <c r="L36" s="63"/>
      <c r="M36" s="63"/>
      <c r="N36" s="63"/>
      <c r="O36" s="63"/>
    </row>
    <row r="37" spans="1:17" ht="14" thickBot="1">
      <c r="A37" s="82"/>
      <c r="B37" s="83"/>
      <c r="C37" s="83"/>
      <c r="D37" s="187" t="s">
        <v>109</v>
      </c>
      <c r="E37" s="328"/>
      <c r="F37" s="189"/>
      <c r="G37" s="328"/>
      <c r="H37" s="17" t="s">
        <v>213</v>
      </c>
      <c r="I37" s="211">
        <f>G37*E37/1000</f>
        <v>0</v>
      </c>
      <c r="J37" s="212" t="s">
        <v>192</v>
      </c>
      <c r="K37" s="63"/>
      <c r="L37" s="63"/>
      <c r="M37" s="63"/>
      <c r="N37" s="63"/>
      <c r="O37" s="63"/>
    </row>
    <row r="38" spans="1:17" ht="14" thickBot="1">
      <c r="A38" s="82"/>
      <c r="B38" s="83"/>
      <c r="C38" s="83"/>
      <c r="D38" s="187" t="s">
        <v>10</v>
      </c>
      <c r="E38" s="218"/>
      <c r="F38" s="216"/>
      <c r="G38" s="217"/>
      <c r="H38" s="216"/>
      <c r="I38" s="329"/>
      <c r="J38" s="212" t="s">
        <v>192</v>
      </c>
      <c r="K38" s="63"/>
      <c r="L38" s="63"/>
      <c r="M38" s="63"/>
      <c r="N38" s="63"/>
      <c r="O38" s="63"/>
    </row>
    <row r="39" spans="1:17" s="61" customFormat="1">
      <c r="A39" s="27"/>
      <c r="B39" s="96" t="s">
        <v>194</v>
      </c>
      <c r="C39" s="96"/>
      <c r="D39" s="95" t="s">
        <v>167</v>
      </c>
      <c r="E39" s="70"/>
      <c r="F39" s="99"/>
      <c r="G39" s="70"/>
      <c r="H39" s="113"/>
      <c r="I39" s="163">
        <f>SUM(I28:I38)</f>
        <v>248.87588056581208</v>
      </c>
      <c r="J39" s="102" t="s">
        <v>192</v>
      </c>
      <c r="K39" s="26" t="s">
        <v>218</v>
      </c>
      <c r="L39" s="26"/>
      <c r="M39" s="26"/>
      <c r="N39" s="26"/>
      <c r="O39" s="26"/>
    </row>
    <row r="40" spans="1:17" s="61" customFormat="1">
      <c r="A40" s="27"/>
      <c r="B40" s="60"/>
      <c r="C40" s="60"/>
      <c r="D40" s="27"/>
      <c r="E40" s="26"/>
      <c r="F40" s="27"/>
      <c r="G40" s="26"/>
      <c r="H40" s="27"/>
      <c r="I40" s="26"/>
      <c r="J40" s="29"/>
      <c r="K40" s="26"/>
      <c r="L40" s="22"/>
      <c r="M40" s="26"/>
      <c r="N40" s="26"/>
      <c r="O40" s="26"/>
    </row>
    <row r="41" spans="1:17">
      <c r="A41" s="82"/>
      <c r="B41" s="83"/>
      <c r="C41" s="83"/>
      <c r="D41" s="95" t="s">
        <v>8</v>
      </c>
      <c r="E41" s="70" t="s">
        <v>34</v>
      </c>
      <c r="F41" s="99"/>
      <c r="G41" s="70" t="s">
        <v>94</v>
      </c>
      <c r="H41" s="99" t="s">
        <v>176</v>
      </c>
      <c r="I41" s="71"/>
      <c r="J41" s="101"/>
      <c r="K41" s="63"/>
      <c r="L41" s="63"/>
      <c r="M41" s="65"/>
      <c r="N41" s="63"/>
      <c r="O41" s="63"/>
      <c r="P41" s="61"/>
      <c r="Q41" s="61"/>
    </row>
    <row r="42" spans="1:17" s="61" customFormat="1">
      <c r="A42" s="27"/>
      <c r="B42" s="60"/>
      <c r="C42" s="60"/>
      <c r="D42" s="201" t="s">
        <v>51</v>
      </c>
      <c r="E42" s="219">
        <f>Energie!E11</f>
        <v>0</v>
      </c>
      <c r="F42" s="202" t="s">
        <v>159</v>
      </c>
      <c r="G42" s="202">
        <f>Energie!E46</f>
        <v>171.51813000000001</v>
      </c>
      <c r="H42" s="221" t="s">
        <v>89</v>
      </c>
      <c r="I42" s="209">
        <f>IF(Energie!C5&lt;&gt;3,G42*E42/1000,0)</f>
        <v>0</v>
      </c>
      <c r="J42" s="210" t="s">
        <v>192</v>
      </c>
      <c r="K42" s="26"/>
      <c r="L42" s="26"/>
      <c r="M42" s="26"/>
      <c r="N42" s="26"/>
      <c r="O42" s="26"/>
    </row>
    <row r="43" spans="1:17" s="61" customFormat="1" ht="13" thickBot="1">
      <c r="A43" s="27"/>
      <c r="B43" s="60"/>
      <c r="C43" s="60"/>
      <c r="D43" s="214" t="s">
        <v>299</v>
      </c>
      <c r="E43" s="398">
        <f>Energie!E21*1.112</f>
        <v>3502.7465872169023</v>
      </c>
      <c r="F43" s="202" t="s">
        <v>301</v>
      </c>
      <c r="G43" s="17">
        <f>Energie!E89</f>
        <v>121.03638331581922</v>
      </c>
      <c r="H43" s="221" t="s">
        <v>282</v>
      </c>
      <c r="I43" s="209">
        <f>IF(Energie!C5=3,G43*E43/1000,0)</f>
        <v>423.95977858856264</v>
      </c>
      <c r="J43" s="210" t="s">
        <v>192</v>
      </c>
      <c r="K43" s="26"/>
      <c r="L43" s="26"/>
      <c r="M43" s="26"/>
      <c r="N43" s="26"/>
      <c r="O43" s="26"/>
    </row>
    <row r="44" spans="1:17" s="61" customFormat="1" ht="14" thickBot="1">
      <c r="A44" s="27"/>
      <c r="B44" s="60"/>
      <c r="C44" s="60"/>
      <c r="D44" s="214" t="s">
        <v>157</v>
      </c>
      <c r="E44" s="17">
        <f>Gisement!M46</f>
        <v>0</v>
      </c>
      <c r="F44" s="17" t="s">
        <v>158</v>
      </c>
      <c r="G44" s="328"/>
      <c r="H44" s="216" t="s">
        <v>90</v>
      </c>
      <c r="I44" s="389">
        <f>G44*E44/1000</f>
        <v>0</v>
      </c>
      <c r="J44" s="222" t="s">
        <v>192</v>
      </c>
      <c r="K44" s="26"/>
      <c r="L44" s="26"/>
      <c r="M44" s="26"/>
      <c r="N44" s="26"/>
      <c r="O44" s="26"/>
    </row>
    <row r="45" spans="1:17" ht="14" thickBot="1">
      <c r="A45" s="82"/>
      <c r="B45" s="83"/>
      <c r="C45" s="83"/>
      <c r="D45" s="214" t="s">
        <v>227</v>
      </c>
      <c r="E45" s="215">
        <f>Energie!E34</f>
        <v>0</v>
      </c>
      <c r="F45" s="17" t="s">
        <v>159</v>
      </c>
      <c r="G45" s="227"/>
      <c r="H45" s="216" t="s">
        <v>89</v>
      </c>
      <c r="I45" s="389">
        <f>G45*E45/1000</f>
        <v>0</v>
      </c>
      <c r="J45" s="212" t="s">
        <v>192</v>
      </c>
      <c r="K45" s="63"/>
      <c r="L45" s="63"/>
      <c r="M45" s="63"/>
      <c r="N45" s="63"/>
      <c r="O45" s="63"/>
      <c r="P45" s="61"/>
      <c r="Q45" s="61"/>
    </row>
    <row r="46" spans="1:17" ht="14" thickBot="1">
      <c r="A46" s="82"/>
      <c r="B46" s="83"/>
      <c r="C46" s="83"/>
      <c r="D46" s="183" t="s">
        <v>219</v>
      </c>
      <c r="E46" s="207"/>
      <c r="F46" s="220"/>
      <c r="G46" s="224"/>
      <c r="H46" s="220"/>
      <c r="I46" s="329"/>
      <c r="J46" s="223" t="s">
        <v>192</v>
      </c>
      <c r="K46" s="63"/>
      <c r="L46" s="63"/>
      <c r="M46" s="63"/>
      <c r="N46" s="63"/>
      <c r="O46" s="63"/>
      <c r="P46" s="61"/>
      <c r="Q46" s="61"/>
    </row>
    <row r="47" spans="1:17" s="74" customFormat="1">
      <c r="A47" s="97"/>
      <c r="B47" s="83" t="s">
        <v>195</v>
      </c>
      <c r="C47" s="83"/>
      <c r="D47" s="98" t="s">
        <v>9</v>
      </c>
      <c r="E47" s="112"/>
      <c r="F47" s="112"/>
      <c r="G47" s="72"/>
      <c r="H47" s="114"/>
      <c r="I47" s="163">
        <f>SUM(I42:I46)</f>
        <v>423.95977858856264</v>
      </c>
      <c r="J47" s="103" t="s">
        <v>192</v>
      </c>
      <c r="K47" s="26" t="s">
        <v>218</v>
      </c>
      <c r="L47" s="73"/>
      <c r="M47" s="73"/>
      <c r="N47" s="73"/>
      <c r="O47" s="73"/>
      <c r="P47" s="61"/>
      <c r="Q47" s="61"/>
    </row>
    <row r="48" spans="1:17" s="61" customFormat="1">
      <c r="A48" s="27"/>
      <c r="B48" s="60"/>
      <c r="C48" s="60"/>
      <c r="D48" s="27"/>
      <c r="E48" s="27"/>
      <c r="F48" s="27"/>
      <c r="G48" s="27"/>
      <c r="H48" s="27"/>
      <c r="I48" s="27"/>
      <c r="J48" s="29"/>
      <c r="K48" s="26"/>
      <c r="L48" s="26"/>
      <c r="M48" s="26"/>
      <c r="N48" s="26"/>
      <c r="O48" s="26"/>
    </row>
    <row r="49" spans="1:15" s="75" customFormat="1">
      <c r="A49" s="83"/>
      <c r="B49" s="96" t="s">
        <v>196</v>
      </c>
      <c r="C49" s="96" t="s">
        <v>78</v>
      </c>
      <c r="D49" s="230" t="s">
        <v>36</v>
      </c>
      <c r="E49" s="231"/>
      <c r="F49" s="232"/>
      <c r="G49" s="233"/>
      <c r="H49" s="232"/>
      <c r="I49" s="234">
        <f>I47-I39</f>
        <v>175.08389802275056</v>
      </c>
      <c r="J49" s="235" t="s">
        <v>192</v>
      </c>
      <c r="K49" s="62"/>
      <c r="L49" s="62"/>
      <c r="M49" s="62"/>
      <c r="N49" s="62"/>
      <c r="O49" s="62"/>
    </row>
    <row r="50" spans="1:15" s="75" customFormat="1">
      <c r="A50" s="83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62"/>
      <c r="M50" s="62"/>
      <c r="N50" s="62"/>
      <c r="O50" s="62"/>
    </row>
    <row r="51" spans="1:15" s="75" customFormat="1">
      <c r="A51" s="83"/>
      <c r="B51" s="96"/>
      <c r="C51" s="96"/>
      <c r="D51" s="236"/>
      <c r="E51" s="237"/>
      <c r="F51" s="238"/>
      <c r="G51" s="239"/>
      <c r="H51" s="238"/>
      <c r="I51" s="240" t="s">
        <v>53</v>
      </c>
      <c r="J51" s="241" t="s">
        <v>54</v>
      </c>
      <c r="K51" s="62"/>
      <c r="L51" s="62"/>
      <c r="M51" s="62"/>
      <c r="N51" s="62"/>
      <c r="O51" s="62"/>
    </row>
    <row r="52" spans="1:15" s="75" customFormat="1">
      <c r="A52" s="83"/>
      <c r="B52" s="96"/>
      <c r="C52" s="96"/>
      <c r="D52" s="236"/>
      <c r="E52" s="242"/>
      <c r="F52" s="243"/>
      <c r="G52" s="244"/>
      <c r="H52" s="243"/>
      <c r="I52" s="245" t="s">
        <v>55</v>
      </c>
      <c r="J52" s="246" t="s">
        <v>233</v>
      </c>
      <c r="K52" s="62"/>
      <c r="L52" s="62"/>
      <c r="M52" s="62"/>
      <c r="N52" s="62"/>
      <c r="O52" s="62"/>
    </row>
    <row r="53" spans="1:15" s="75" customFormat="1">
      <c r="A53" s="83"/>
      <c r="B53" s="96"/>
      <c r="C53" s="96"/>
      <c r="D53" s="189" t="s">
        <v>52</v>
      </c>
      <c r="E53" s="247" t="s">
        <v>56</v>
      </c>
      <c r="F53" s="248"/>
      <c r="G53" s="249"/>
      <c r="H53" s="248"/>
      <c r="I53" s="250">
        <f>0.85*I47-1.15*I39</f>
        <v>74.158549149594364</v>
      </c>
      <c r="J53" s="222">
        <f>1.15*I20/I53</f>
        <v>33.86641957373778</v>
      </c>
      <c r="K53" s="132">
        <f>ROUND(AVERAGE(J53,J53,$I$59),0)</f>
        <v>27</v>
      </c>
      <c r="L53" s="62"/>
      <c r="M53" s="62"/>
      <c r="N53" s="62"/>
      <c r="O53" s="62"/>
    </row>
    <row r="54" spans="1:15" s="75" customFormat="1">
      <c r="A54" s="83"/>
      <c r="B54" s="96"/>
      <c r="C54" s="96"/>
      <c r="D54" s="189"/>
      <c r="E54" s="183" t="s">
        <v>217</v>
      </c>
      <c r="F54" s="251"/>
      <c r="G54" s="252"/>
      <c r="H54" s="251"/>
      <c r="I54" s="253">
        <f>1.15*I47-0.85*I39</f>
        <v>276.00924689590676</v>
      </c>
      <c r="J54" s="246">
        <f>I18*0.85/I54</f>
        <v>6.7255524270704337</v>
      </c>
      <c r="K54" s="132">
        <f>ROUND(AVERAGE(J54,J54,$I$59),0)</f>
        <v>9</v>
      </c>
      <c r="L54" s="62"/>
      <c r="M54" s="62"/>
      <c r="N54" s="62"/>
      <c r="O54" s="62"/>
    </row>
    <row r="55" spans="1:15">
      <c r="A55" s="82"/>
      <c r="B55" s="83"/>
      <c r="C55" s="83"/>
      <c r="D55" s="82"/>
      <c r="E55" s="63"/>
      <c r="F55" s="82"/>
      <c r="G55" s="82"/>
      <c r="H55" s="82"/>
      <c r="I55" s="82"/>
      <c r="J55" s="104"/>
      <c r="K55" s="63"/>
      <c r="L55" s="63"/>
      <c r="M55" s="63"/>
      <c r="N55" s="63"/>
      <c r="O55" s="63"/>
    </row>
    <row r="56" spans="1:15" s="74" customFormat="1">
      <c r="A56" s="97"/>
      <c r="B56" s="96" t="s">
        <v>197</v>
      </c>
      <c r="C56" s="96" t="s">
        <v>79</v>
      </c>
      <c r="D56" s="95" t="s">
        <v>214</v>
      </c>
      <c r="E56" s="70"/>
      <c r="F56" s="99"/>
      <c r="G56" s="99"/>
      <c r="H56" s="99"/>
      <c r="I56" s="100">
        <f>I39+I24</f>
        <v>452.22708890098261</v>
      </c>
      <c r="J56" s="105" t="s">
        <v>192</v>
      </c>
      <c r="K56" s="73"/>
      <c r="L56" s="73"/>
      <c r="M56" s="73"/>
      <c r="N56" s="73"/>
      <c r="O56" s="73"/>
    </row>
    <row r="57" spans="1:15" s="74" customFormat="1">
      <c r="A57" s="97"/>
      <c r="B57" s="96" t="s">
        <v>77</v>
      </c>
      <c r="C57" s="96" t="s">
        <v>72</v>
      </c>
      <c r="D57" s="95" t="s">
        <v>136</v>
      </c>
      <c r="E57" s="70"/>
      <c r="F57" s="99"/>
      <c r="G57" s="99"/>
      <c r="H57" s="108"/>
      <c r="I57" s="162">
        <f>I49-I24</f>
        <v>-28.267310312419966</v>
      </c>
      <c r="J57" s="105" t="s">
        <v>192</v>
      </c>
      <c r="K57" s="73"/>
      <c r="L57" s="73"/>
      <c r="M57" s="73"/>
      <c r="N57" s="73"/>
      <c r="O57" s="73"/>
    </row>
    <row r="58" spans="1:15" s="74" customFormat="1">
      <c r="A58" s="97"/>
      <c r="B58" s="96"/>
      <c r="C58" s="96"/>
      <c r="D58" s="96"/>
      <c r="E58" s="76"/>
      <c r="F58" s="109"/>
      <c r="G58" s="96"/>
      <c r="H58" s="110"/>
      <c r="I58" s="111"/>
      <c r="J58" s="106"/>
      <c r="K58" s="73"/>
      <c r="L58" s="73"/>
      <c r="M58" s="73"/>
      <c r="N58" s="73"/>
      <c r="O58" s="73"/>
    </row>
    <row r="59" spans="1:15" s="75" customFormat="1" ht="13">
      <c r="A59" s="83"/>
      <c r="B59" s="83" t="s">
        <v>198</v>
      </c>
      <c r="C59" s="83" t="s">
        <v>201</v>
      </c>
      <c r="D59" s="133" t="s">
        <v>137</v>
      </c>
      <c r="E59" s="134"/>
      <c r="F59" s="135"/>
      <c r="G59" s="136"/>
      <c r="H59" s="137"/>
      <c r="I59" s="399">
        <f>I20/I49</f>
        <v>12.473446302488966</v>
      </c>
      <c r="J59" s="138" t="s">
        <v>233</v>
      </c>
      <c r="K59" s="62"/>
      <c r="L59" s="62"/>
      <c r="N59" s="62"/>
      <c r="O59" s="62"/>
    </row>
    <row r="60" spans="1:15" ht="13">
      <c r="A60" s="82"/>
      <c r="B60" s="83"/>
      <c r="C60" s="83"/>
      <c r="D60" s="254"/>
      <c r="E60" s="255"/>
      <c r="F60" s="256"/>
      <c r="G60" s="257"/>
      <c r="H60" s="258"/>
      <c r="I60" s="259"/>
      <c r="J60" s="260" t="str">
        <f>CONCATENATE("Plage probable : ",K54," à ",K53," ans")</f>
        <v>Plage probable : 9 à 27 ans</v>
      </c>
      <c r="K60" s="63"/>
      <c r="L60" s="63"/>
      <c r="M60" s="63"/>
      <c r="N60" s="63"/>
      <c r="O60" s="63"/>
    </row>
    <row r="61" spans="1:15">
      <c r="A61" s="82"/>
      <c r="B61" s="83"/>
      <c r="C61" s="83"/>
      <c r="D61" s="82"/>
      <c r="E61" s="63"/>
      <c r="F61" s="82"/>
      <c r="G61" s="82"/>
      <c r="H61" s="82"/>
      <c r="I61" s="82"/>
      <c r="J61" s="82"/>
      <c r="K61" s="63"/>
      <c r="L61" s="63"/>
      <c r="M61" s="63"/>
      <c r="N61" s="63"/>
      <c r="O61" s="63"/>
    </row>
    <row r="62" spans="1:15">
      <c r="A62" s="82"/>
      <c r="B62" s="83"/>
      <c r="C62" s="83"/>
      <c r="D62" s="82"/>
      <c r="E62" s="63"/>
      <c r="F62" s="82"/>
      <c r="G62" s="63"/>
      <c r="H62" s="82"/>
      <c r="I62" s="63"/>
      <c r="J62" s="82"/>
      <c r="K62" s="63"/>
      <c r="L62" s="63"/>
      <c r="M62" s="63"/>
      <c r="N62" s="63"/>
      <c r="O62" s="63"/>
    </row>
    <row r="63" spans="1:15">
      <c r="A63" s="77"/>
      <c r="B63" s="78" t="str">
        <f>IF(I59&lt;9,"Ce projet est a priori viable dans les conditions techniques et économiques définies ici",IF(I59&lt;20,"Recherchez des optimisations et compléments pour rendre le projet viable : TAILLE, REDEVANCE COSUBSTRATS, DEBOUCHES THERMIQUES","Ce projet n'est pas viable a priori ; les conditions techniques et économiques doivent être modifiées significativement"))</f>
        <v>Recherchez des optimisations et compléments pour rendre le projet viable : TAILLE, REDEVANCE COSUBSTRATS, DEBOUCHES THERMIQUES</v>
      </c>
      <c r="C63" s="79"/>
      <c r="D63" s="116"/>
      <c r="E63" s="77"/>
      <c r="F63" s="116"/>
      <c r="G63" s="77"/>
      <c r="H63" s="116"/>
      <c r="I63" s="77"/>
      <c r="J63" s="77"/>
      <c r="K63" s="77"/>
      <c r="L63" s="77"/>
      <c r="M63" s="77"/>
      <c r="N63" s="77"/>
      <c r="O63" s="77"/>
    </row>
    <row r="67" spans="8:9">
      <c r="H67" s="143"/>
      <c r="I67" s="144"/>
    </row>
    <row r="68" spans="8:9">
      <c r="H68" s="143"/>
      <c r="I68" s="144"/>
    </row>
    <row r="69" spans="8:9">
      <c r="H69" s="143"/>
      <c r="I69" s="144"/>
    </row>
    <row r="70" spans="8:9">
      <c r="H70" s="143"/>
      <c r="I70" s="144"/>
    </row>
  </sheetData>
  <pageMargins left="0.44" right="0.44" top="0.98425196850393704" bottom="0.98425196850393704" header="0.51181102362204722" footer="0.51181102362204722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ModeDEmploi</vt:lpstr>
      <vt:lpstr>Gisement</vt:lpstr>
      <vt:lpstr>Matiere</vt:lpstr>
      <vt:lpstr>Energie</vt:lpstr>
      <vt:lpstr>Economie</vt:lpstr>
    </vt:vector>
  </TitlesOfParts>
  <Company>SOLAGRO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Elen Devauchelle</cp:lastModifiedBy>
  <cp:lastPrinted>2007-07-23T16:02:21Z</cp:lastPrinted>
  <dcterms:created xsi:type="dcterms:W3CDTF">2000-07-26T15:33:16Z</dcterms:created>
  <dcterms:modified xsi:type="dcterms:W3CDTF">2015-11-25T07:20:24Z</dcterms:modified>
</cp:coreProperties>
</file>